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2018\vranje\4-TENDER\objekat 1\"/>
    </mc:Choice>
  </mc:AlternateContent>
  <bookViews>
    <workbookView xWindow="11040" yWindow="210" windowWidth="13140" windowHeight="11820" tabRatio="580"/>
  </bookViews>
  <sheets>
    <sheet name="ПиП-АГ-Врање" sheetId="10" r:id="rId1"/>
  </sheets>
  <definedNames>
    <definedName name="_xlnm.Print_Area" localSheetId="0">'ПиП-АГ-Врање'!$A$1:$F$2757</definedName>
    <definedName name="_xlnm.Print_Titles" localSheetId="0">'ПиП-АГ-Врање'!$1:$4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D2651" i="10" l="1"/>
  <c r="F2698" i="10" l="1"/>
  <c r="F2693" i="10"/>
  <c r="D2579" i="10" l="1"/>
  <c r="D2576" i="10"/>
  <c r="D2573" i="10"/>
  <c r="D2585" i="10"/>
  <c r="D2620" i="10"/>
  <c r="D2636" i="10"/>
  <c r="D2250" i="10" l="1"/>
  <c r="F2250" i="10" l="1"/>
  <c r="D533" i="10" l="1"/>
  <c r="D2113" i="10" l="1"/>
  <c r="F2113" i="10" l="1"/>
  <c r="D765" i="10"/>
  <c r="F765" i="10" l="1"/>
  <c r="H2632" i="10"/>
  <c r="D2633" i="10"/>
  <c r="D2630" i="10"/>
  <c r="D2638" i="10" l="1"/>
  <c r="F2638" i="10" s="1"/>
  <c r="D2706" i="10" l="1"/>
  <c r="D1528" i="10" l="1"/>
  <c r="D1525" i="10"/>
  <c r="D1519" i="10"/>
  <c r="D1522" i="10"/>
  <c r="B2723" i="10"/>
  <c r="A2723" i="10"/>
  <c r="B2722" i="10"/>
  <c r="A2722" i="10"/>
  <c r="F1519" i="10" l="1"/>
  <c r="D1530" i="10"/>
  <c r="F1530" i="10" s="1"/>
  <c r="D2523" i="10"/>
  <c r="D2522" i="10"/>
  <c r="D2519" i="10"/>
  <c r="D2518" i="10"/>
  <c r="D2515" i="10"/>
  <c r="D2514" i="10"/>
  <c r="D2511" i="10"/>
  <c r="D2510" i="10"/>
  <c r="D2233" i="10"/>
  <c r="D515" i="10"/>
  <c r="D609" i="10"/>
  <c r="D2240" i="10"/>
  <c r="D2178" i="10"/>
  <c r="F1378" i="10"/>
  <c r="D950" i="10"/>
  <c r="D908" i="10"/>
  <c r="F2240" i="10" l="1"/>
  <c r="F609" i="10"/>
  <c r="D509" i="10"/>
  <c r="D42" i="10" l="1"/>
  <c r="D30" i="10"/>
  <c r="G405" i="10" l="1"/>
  <c r="G391" i="10"/>
  <c r="D316" i="10"/>
  <c r="D299" i="10"/>
  <c r="G127" i="10"/>
  <c r="D88" i="10"/>
  <c r="F88" i="10" l="1"/>
  <c r="G299" i="10"/>
  <c r="D1399" i="10"/>
  <c r="F1399" i="10" l="1"/>
  <c r="F2026" i="10"/>
  <c r="F1674" i="10"/>
  <c r="F1678" i="10"/>
  <c r="F1682" i="10"/>
  <c r="F1686" i="10"/>
  <c r="F1690" i="10"/>
  <c r="F1694" i="10"/>
  <c r="F1698" i="10"/>
  <c r="F1625" i="10"/>
  <c r="F1621" i="10"/>
  <c r="F1617" i="10"/>
  <c r="F1613" i="10"/>
  <c r="F1609" i="10"/>
  <c r="F1593" i="10"/>
  <c r="F1589" i="10"/>
  <c r="F1585" i="10"/>
  <c r="F1581" i="10"/>
  <c r="F1803" i="10"/>
  <c r="F1807" i="10"/>
  <c r="F2093" i="10" l="1"/>
  <c r="F2089" i="10"/>
  <c r="F1966" i="10"/>
  <c r="F1950" i="10"/>
  <c r="F1946" i="10"/>
  <c r="F1942" i="10"/>
  <c r="F1938" i="10"/>
  <c r="F2662" i="10" l="1"/>
  <c r="D2658" i="10"/>
  <c r="D920" i="10"/>
  <c r="F2658" i="10" l="1"/>
  <c r="F920" i="10"/>
  <c r="F1750" i="10"/>
  <c r="F2078" i="10"/>
  <c r="F2075" i="10"/>
  <c r="F2065" i="10"/>
  <c r="F2039" i="10"/>
  <c r="F1831" i="10"/>
  <c r="F1827" i="10"/>
  <c r="F1823" i="10"/>
  <c r="F1791" i="10"/>
  <c r="F1777" i="10"/>
  <c r="F1773" i="10"/>
  <c r="F1769" i="10"/>
  <c r="F1765" i="10"/>
  <c r="F1735" i="10"/>
  <c r="F1573" i="10"/>
  <c r="F1670" i="10"/>
  <c r="F1666" i="10"/>
  <c r="F1662" i="10"/>
  <c r="F1658" i="10"/>
  <c r="F1654" i="10"/>
  <c r="F1637" i="10"/>
  <c r="F1633" i="10"/>
  <c r="F1629" i="10"/>
  <c r="F1605" i="10"/>
  <c r="F1601" i="10"/>
  <c r="F1597" i="10"/>
  <c r="F1577" i="10"/>
  <c r="F1541" i="10"/>
  <c r="F1539" i="10"/>
  <c r="F1506" i="10"/>
  <c r="F1495" i="10"/>
  <c r="F1481" i="10"/>
  <c r="F1464" i="10"/>
  <c r="F1460" i="10"/>
  <c r="F1445" i="10"/>
  <c r="F1429" i="10"/>
  <c r="A2095" i="10"/>
  <c r="D2009" i="10"/>
  <c r="D1998" i="10"/>
  <c r="D1984" i="10"/>
  <c r="D1981" i="10"/>
  <c r="D1978" i="10"/>
  <c r="D1924" i="10"/>
  <c r="D1921" i="10"/>
  <c r="D1918" i="10"/>
  <c r="D1915" i="10"/>
  <c r="D1912" i="10"/>
  <c r="D1909" i="10"/>
  <c r="D1906" i="10"/>
  <c r="D1903" i="10"/>
  <c r="D1900" i="10"/>
  <c r="D1897" i="10"/>
  <c r="D1894" i="10"/>
  <c r="D1891" i="10"/>
  <c r="D1888" i="10"/>
  <c r="D1885" i="10"/>
  <c r="D1871" i="10"/>
  <c r="D1868" i="10"/>
  <c r="D1865" i="10"/>
  <c r="D1851" i="10"/>
  <c r="D1848" i="10"/>
  <c r="D1845" i="10"/>
  <c r="A1700" i="10"/>
  <c r="A1543" i="10"/>
  <c r="G1492" i="10"/>
  <c r="G1488" i="10"/>
  <c r="G1487" i="10"/>
  <c r="H2518" i="10"/>
  <c r="F1891" i="10" l="1"/>
  <c r="F1865" i="10"/>
  <c r="F1868" i="10"/>
  <c r="F1543" i="10"/>
  <c r="F1851" i="10"/>
  <c r="F1885" i="10"/>
  <c r="F1903" i="10"/>
  <c r="F1888" i="10"/>
  <c r="F1894" i="10"/>
  <c r="F1912" i="10"/>
  <c r="F1924" i="10"/>
  <c r="F1984" i="10"/>
  <c r="F1845" i="10"/>
  <c r="F1897" i="10"/>
  <c r="F1906" i="10"/>
  <c r="F1918" i="10"/>
  <c r="F1978" i="10"/>
  <c r="F2009" i="10"/>
  <c r="F1700" i="10"/>
  <c r="F1915" i="10"/>
  <c r="F1998" i="10"/>
  <c r="F1848" i="10"/>
  <c r="F1871" i="10"/>
  <c r="F1900" i="10"/>
  <c r="F1909" i="10"/>
  <c r="F1921" i="10"/>
  <c r="F1981" i="10"/>
  <c r="D2542" i="10"/>
  <c r="F1237" i="10"/>
  <c r="D1098" i="10"/>
  <c r="D939" i="10"/>
  <c r="D388" i="10"/>
  <c r="D382" i="10"/>
  <c r="D385" i="10"/>
  <c r="D85" i="10"/>
  <c r="D83" i="10"/>
  <c r="D790" i="10"/>
  <c r="D802" i="10"/>
  <c r="D799" i="10"/>
  <c r="D796" i="10"/>
  <c r="D783" i="10"/>
  <c r="D780" i="10"/>
  <c r="D777" i="10"/>
  <c r="D811" i="10"/>
  <c r="D1341" i="10"/>
  <c r="F2651" i="10" l="1"/>
  <c r="F85" i="10"/>
  <c r="F83" i="10"/>
  <c r="G385" i="10"/>
  <c r="G382" i="10"/>
  <c r="G388" i="10"/>
  <c r="D730" i="10"/>
  <c r="F950" i="10"/>
  <c r="D61" i="10"/>
  <c r="D222" i="10"/>
  <c r="D231" i="10"/>
  <c r="D228" i="10"/>
  <c r="D225" i="10"/>
  <c r="D399" i="10"/>
  <c r="D402" i="10"/>
  <c r="D233" i="10" l="1"/>
  <c r="G402" i="10"/>
  <c r="G399" i="10"/>
  <c r="F61" i="10"/>
  <c r="D396" i="10" l="1"/>
  <c r="D296" i="10"/>
  <c r="D141" i="10"/>
  <c r="D138" i="10"/>
  <c r="D108" i="10"/>
  <c r="D143" i="10" l="1"/>
  <c r="G143" i="10" s="1"/>
  <c r="F296" i="10"/>
  <c r="G108" i="10"/>
  <c r="G396" i="10"/>
  <c r="G296" i="10"/>
  <c r="D15" i="10"/>
  <c r="B2714" i="10" l="1"/>
  <c r="B2715" i="10"/>
  <c r="B2716" i="10"/>
  <c r="B2717" i="10"/>
  <c r="B2718" i="10"/>
  <c r="B2719" i="10"/>
  <c r="B2720" i="10"/>
  <c r="B2721" i="10"/>
  <c r="B2724" i="10"/>
  <c r="B2725" i="10"/>
  <c r="B2726" i="10"/>
  <c r="B2727" i="10"/>
  <c r="B2728" i="10"/>
  <c r="B2729" i="10"/>
  <c r="D914" i="10" l="1"/>
  <c r="F2233" i="10"/>
  <c r="D2703" i="10"/>
  <c r="D2709" i="10" s="1"/>
  <c r="D55" i="10"/>
  <c r="D321" i="10"/>
  <c r="D410" i="10"/>
  <c r="D2617" i="10"/>
  <c r="D2614" i="10"/>
  <c r="D2223" i="10"/>
  <c r="D2220" i="10"/>
  <c r="D2424" i="10"/>
  <c r="D2421" i="10"/>
  <c r="D2311" i="10"/>
  <c r="D2426" i="10" l="1"/>
  <c r="F2426" i="10" s="1"/>
  <c r="F2311" i="10"/>
  <c r="D2225" i="10"/>
  <c r="F55" i="10"/>
  <c r="F914" i="10"/>
  <c r="G321" i="10"/>
  <c r="G410" i="10"/>
  <c r="D2607" i="10" l="1"/>
  <c r="D2604" i="10"/>
  <c r="D2601" i="10"/>
  <c r="D2597" i="10"/>
  <c r="D2569" i="10"/>
  <c r="D2610" i="10" l="1"/>
  <c r="D2622" i="10" s="1"/>
  <c r="D2582" i="10"/>
  <c r="D2587" i="10" s="1"/>
  <c r="D2530" i="10"/>
  <c r="D2507" i="10"/>
  <c r="D2525" i="10" s="1"/>
  <c r="D1058" i="10"/>
  <c r="D1061" i="10"/>
  <c r="D1055" i="10"/>
  <c r="D1052" i="10"/>
  <c r="D2561" i="10"/>
  <c r="D2549" i="10"/>
  <c r="D2539" i="10"/>
  <c r="D2536" i="10"/>
  <c r="D2533" i="10"/>
  <c r="D2492" i="10"/>
  <c r="D2489" i="10"/>
  <c r="D2486" i="10"/>
  <c r="D2483" i="10"/>
  <c r="D2474" i="10"/>
  <c r="D2471" i="10"/>
  <c r="D2468" i="10"/>
  <c r="D2544" i="10" l="1"/>
  <c r="D2494" i="10"/>
  <c r="D1063" i="10"/>
  <c r="F1063" i="10" s="1"/>
  <c r="D2465" i="10"/>
  <c r="D2476" i="10" s="1"/>
  <c r="D2453" i="10" l="1"/>
  <c r="D2450" i="10"/>
  <c r="K734" i="10" s="1"/>
  <c r="D2447" i="10"/>
  <c r="D2456" i="10"/>
  <c r="D713" i="10"/>
  <c r="D2410" i="10"/>
  <c r="D2405" i="10"/>
  <c r="D2396" i="10"/>
  <c r="D2393" i="10"/>
  <c r="D2390" i="10"/>
  <c r="D2387" i="10"/>
  <c r="D2382" i="10"/>
  <c r="D2379" i="10"/>
  <c r="D2376" i="10"/>
  <c r="D2373" i="10"/>
  <c r="D2360" i="10"/>
  <c r="D2353" i="10"/>
  <c r="D2351" i="10"/>
  <c r="D2349" i="10"/>
  <c r="D2347" i="10"/>
  <c r="D2343" i="10"/>
  <c r="D2341" i="10"/>
  <c r="D2337" i="10"/>
  <c r="D2339" i="10"/>
  <c r="D2329" i="10"/>
  <c r="D2323" i="10"/>
  <c r="D2326" i="10"/>
  <c r="D2320" i="10"/>
  <c r="D2306" i="10"/>
  <c r="D2303" i="10"/>
  <c r="D2300" i="10"/>
  <c r="D2297" i="10"/>
  <c r="D2290" i="10"/>
  <c r="D2287" i="10"/>
  <c r="D2284" i="10"/>
  <c r="D2281" i="10"/>
  <c r="D2274" i="10"/>
  <c r="D2271" i="10"/>
  <c r="D2268" i="10"/>
  <c r="D2265" i="10"/>
  <c r="D1301" i="10"/>
  <c r="D2146" i="10"/>
  <c r="D2143" i="10"/>
  <c r="D2122" i="10"/>
  <c r="D2211" i="10"/>
  <c r="D2202" i="10"/>
  <c r="D2193" i="10"/>
  <c r="D2185" i="10"/>
  <c r="F2178" i="10"/>
  <c r="F2211" i="10" l="1"/>
  <c r="D2355" i="10"/>
  <c r="D2398" i="10"/>
  <c r="D2458" i="10"/>
  <c r="F2143" i="10"/>
  <c r="F2146" i="10"/>
  <c r="F1301" i="10"/>
  <c r="D2276" i="10"/>
  <c r="D2292" i="10"/>
  <c r="D2308" i="10"/>
  <c r="D2331" i="10"/>
  <c r="F908" i="10" l="1"/>
  <c r="A1303" i="10"/>
  <c r="D2164" i="10" l="1"/>
  <c r="D2154" i="10"/>
  <c r="D2132" i="10"/>
  <c r="D2105" i="10"/>
  <c r="F2154" i="10" l="1"/>
  <c r="D1040" i="10"/>
  <c r="D1037" i="10"/>
  <c r="D1042" i="10" s="1"/>
  <c r="F1042" i="10" s="1"/>
  <c r="D971" i="10" l="1"/>
  <c r="D968" i="10"/>
  <c r="D965" i="10"/>
  <c r="D962" i="10"/>
  <c r="D973" i="10" l="1"/>
  <c r="G661" i="10"/>
  <c r="D652" i="10"/>
  <c r="F883" i="10"/>
  <c r="D455" i="10" l="1"/>
  <c r="D458" i="10"/>
  <c r="D452" i="10"/>
  <c r="D449" i="10"/>
  <c r="D131" i="10"/>
  <c r="D125" i="10"/>
  <c r="D118" i="10"/>
  <c r="D111" i="10"/>
  <c r="F108" i="10"/>
  <c r="D99" i="10"/>
  <c r="F402" i="10"/>
  <c r="F399" i="10"/>
  <c r="F396" i="10"/>
  <c r="F382" i="10"/>
  <c r="F388" i="10"/>
  <c r="F385" i="10"/>
  <c r="F299" i="10"/>
  <c r="F321" i="10"/>
  <c r="D342" i="10"/>
  <c r="D339" i="10"/>
  <c r="D336" i="10"/>
  <c r="D327" i="10"/>
  <c r="D313" i="10"/>
  <c r="D311" i="10"/>
  <c r="D309" i="10"/>
  <c r="D92" i="10"/>
  <c r="D318" i="10" l="1"/>
  <c r="F318" i="10" s="1"/>
  <c r="D344" i="10"/>
  <c r="F344" i="10" s="1"/>
  <c r="G327" i="10"/>
  <c r="F327" i="10"/>
  <c r="D460" i="10"/>
  <c r="G118" i="10"/>
  <c r="F118" i="10"/>
  <c r="G111" i="10"/>
  <c r="G125" i="10"/>
  <c r="F125" i="10"/>
  <c r="G99" i="10"/>
  <c r="F99" i="10"/>
  <c r="G131" i="10"/>
  <c r="D74" i="10"/>
  <c r="D48" i="10"/>
  <c r="F48" i="10" s="1"/>
  <c r="D36" i="10"/>
  <c r="G318" i="10" l="1"/>
  <c r="F15" i="10"/>
  <c r="F2683" i="10" l="1"/>
  <c r="F2622" i="10"/>
  <c r="F2561" i="10"/>
  <c r="F2549" i="10"/>
  <c r="F2544" i="10"/>
  <c r="F2525" i="10"/>
  <c r="F2476" i="10"/>
  <c r="F2405" i="10"/>
  <c r="F2308" i="10"/>
  <c r="F2292" i="10"/>
  <c r="G544" i="10"/>
  <c r="F417" i="10"/>
  <c r="D901" i="10"/>
  <c r="F901" i="10" s="1"/>
  <c r="D891" i="10"/>
  <c r="F891" i="10" s="1"/>
  <c r="D1347" i="10"/>
  <c r="F2551" i="10" l="1"/>
  <c r="G1218" i="10"/>
  <c r="G1220" i="10"/>
  <c r="D1220" i="10"/>
  <c r="F1220" i="10" s="1"/>
  <c r="I1335" i="10"/>
  <c r="H1335" i="10"/>
  <c r="I1334" i="10"/>
  <c r="H1334" i="10"/>
  <c r="H1240" i="10"/>
  <c r="H1228" i="10"/>
  <c r="H1227" i="10"/>
  <c r="D1228" i="10"/>
  <c r="G1246" i="10"/>
  <c r="G1245" i="10"/>
  <c r="D1376" i="10"/>
  <c r="F1376" i="10" s="1"/>
  <c r="F1228" i="10" l="1"/>
  <c r="D1392" i="10"/>
  <c r="D1389" i="10"/>
  <c r="D1394" i="10" s="1"/>
  <c r="I1167" i="10"/>
  <c r="I1166" i="10"/>
  <c r="D1362" i="10" l="1"/>
  <c r="D1359" i="10"/>
  <c r="D1356" i="10"/>
  <c r="D1353" i="10"/>
  <c r="D1326" i="10"/>
  <c r="D1323" i="10"/>
  <c r="D1320" i="10"/>
  <c r="D1317" i="10"/>
  <c r="D1328" i="10" l="1"/>
  <c r="D1364" i="10"/>
  <c r="D1032" i="10"/>
  <c r="F1032" i="10" s="1"/>
  <c r="D1291" i="10"/>
  <c r="D1288" i="10"/>
  <c r="D1285" i="10"/>
  <c r="D1282" i="10"/>
  <c r="D1275" i="10"/>
  <c r="D1257" i="10"/>
  <c r="D1169" i="10"/>
  <c r="D1247" i="10"/>
  <c r="D1267" i="10"/>
  <c r="D1206" i="10"/>
  <c r="D1210" i="10" s="1"/>
  <c r="D1195" i="10"/>
  <c r="D1192" i="10"/>
  <c r="D1189" i="10"/>
  <c r="D1166" i="10"/>
  <c r="D1154" i="10"/>
  <c r="D774" i="10"/>
  <c r="D785" i="10" s="1"/>
  <c r="H783" i="10"/>
  <c r="H780" i="10"/>
  <c r="H777" i="10"/>
  <c r="H774" i="10"/>
  <c r="D1125" i="10"/>
  <c r="D1122" i="10"/>
  <c r="D1119" i="10"/>
  <c r="D1116" i="10"/>
  <c r="D1142" i="10"/>
  <c r="D1107" i="10"/>
  <c r="D1104" i="10"/>
  <c r="D1101" i="10"/>
  <c r="D860" i="10"/>
  <c r="D857" i="10"/>
  <c r="D854" i="10"/>
  <c r="D851" i="10"/>
  <c r="D1073" i="10"/>
  <c r="D1047" i="10"/>
  <c r="F1047" i="10" s="1"/>
  <c r="D1171" i="10" l="1"/>
  <c r="D1197" i="10"/>
  <c r="D1109" i="10"/>
  <c r="D862" i="10"/>
  <c r="F862" i="10" s="1"/>
  <c r="D1127" i="10"/>
  <c r="D1293" i="10"/>
  <c r="D1083" i="10"/>
  <c r="F1083" i="10" l="1"/>
  <c r="F1293" i="10"/>
  <c r="D1025" i="10"/>
  <c r="D1022" i="10"/>
  <c r="D1027" i="10" s="1"/>
  <c r="F1027" i="10" s="1"/>
  <c r="D987" i="10" l="1"/>
  <c r="D838" i="10"/>
  <c r="D820" i="10"/>
  <c r="D756" i="10"/>
  <c r="D748" i="10"/>
  <c r="F730" i="10"/>
  <c r="D722" i="10"/>
  <c r="D695" i="10"/>
  <c r="D671" i="10"/>
  <c r="D675" i="10" s="1"/>
  <c r="D643" i="10"/>
  <c r="D623" i="10"/>
  <c r="D617" i="10"/>
  <c r="D597" i="10"/>
  <c r="D576" i="10"/>
  <c r="D556" i="10"/>
  <c r="D550" i="10"/>
  <c r="D512" i="10"/>
  <c r="D490" i="10"/>
  <c r="D477" i="10"/>
  <c r="D438" i="10"/>
  <c r="D287" i="10"/>
  <c r="D284" i="10"/>
  <c r="D281" i="10"/>
  <c r="D278" i="10"/>
  <c r="D177" i="10"/>
  <c r="D159" i="10"/>
  <c r="D270" i="10"/>
  <c r="D215" i="10"/>
  <c r="D195" i="10"/>
  <c r="D355" i="10"/>
  <c r="D352" i="10"/>
  <c r="D366" i="10"/>
  <c r="D363" i="10"/>
  <c r="D374" i="10"/>
  <c r="D289" i="10" l="1"/>
  <c r="G374" i="10"/>
  <c r="G363" i="10"/>
  <c r="G366" i="10"/>
  <c r="G355" i="10"/>
  <c r="F355" i="10"/>
  <c r="G352" i="10"/>
  <c r="F352" i="10"/>
  <c r="G344" i="10"/>
  <c r="F289" i="10" l="1"/>
  <c r="D984" i="10"/>
  <c r="D980" i="10"/>
  <c r="D977" i="10"/>
  <c r="D692" i="10"/>
  <c r="D689" i="10"/>
  <c r="D686" i="10"/>
  <c r="D835" i="10"/>
  <c r="D832" i="10"/>
  <c r="D817" i="10"/>
  <c r="D814" i="10"/>
  <c r="D745" i="10"/>
  <c r="D742" i="10"/>
  <c r="D716" i="10"/>
  <c r="D719" i="10"/>
  <c r="D750" i="10" l="1"/>
  <c r="D724" i="10"/>
  <c r="D989" i="10"/>
  <c r="D822" i="10"/>
  <c r="D697" i="10"/>
  <c r="D640" i="10"/>
  <c r="D637" i="10"/>
  <c r="D620" i="10" l="1"/>
  <c r="D594" i="10"/>
  <c r="D591" i="10"/>
  <c r="D573" i="10"/>
  <c r="D570" i="10"/>
  <c r="D553" i="10"/>
  <c r="D530" i="10"/>
  <c r="D527" i="10"/>
  <c r="D506" i="10" l="1"/>
  <c r="G480" i="10"/>
  <c r="D474" i="10"/>
  <c r="D435" i="10"/>
  <c r="D267" i="10"/>
  <c r="D264" i="10"/>
  <c r="D212" i="10"/>
  <c r="D209" i="10"/>
  <c r="D206" i="10"/>
  <c r="D156" i="10"/>
  <c r="D174" i="10"/>
  <c r="D192" i="10"/>
  <c r="D471" i="10"/>
  <c r="D468" i="10"/>
  <c r="D432" i="10"/>
  <c r="D261" i="10"/>
  <c r="D153" i="10"/>
  <c r="D189" i="10"/>
  <c r="D171" i="10"/>
  <c r="D272" i="10" l="1"/>
  <c r="G272" i="10" s="1"/>
  <c r="D217" i="10"/>
  <c r="G217" i="10" s="1"/>
  <c r="D479" i="10"/>
  <c r="F479" i="10" s="1"/>
  <c r="G233" i="10"/>
  <c r="D1139" i="10"/>
  <c r="D1144" i="10" s="1"/>
  <c r="D829" i="10"/>
  <c r="D840" i="10" s="1"/>
  <c r="D634" i="10"/>
  <c r="D645" i="10" s="1"/>
  <c r="F645" i="10" s="1"/>
  <c r="D793" i="10" l="1"/>
  <c r="D804" i="10" s="1"/>
  <c r="F756" i="10" l="1"/>
  <c r="D736" i="10"/>
  <c r="D567" i="10" l="1"/>
  <c r="D578" i="10" s="1"/>
  <c r="F578" i="10" s="1"/>
  <c r="D614" i="10"/>
  <c r="D625" i="10" s="1"/>
  <c r="F625" i="10" s="1"/>
  <c r="D588" i="10"/>
  <c r="D599" i="10" s="1"/>
  <c r="F599" i="10" s="1"/>
  <c r="D547" i="10" l="1"/>
  <c r="D558" i="10" s="1"/>
  <c r="F558" i="10" s="1"/>
  <c r="D503" i="10" l="1"/>
  <c r="D487" i="10"/>
  <c r="D492" i="10" s="1"/>
  <c r="D500" i="10"/>
  <c r="D524" i="10"/>
  <c r="D429" i="10"/>
  <c r="D440" i="10" s="1"/>
  <c r="D150" i="10"/>
  <c r="D186" i="10"/>
  <c r="D168" i="10"/>
  <c r="D535" i="10" l="1"/>
  <c r="F535" i="10" s="1"/>
  <c r="D179" i="10"/>
  <c r="D197" i="10"/>
  <c r="G197" i="10" s="1"/>
  <c r="D517" i="10"/>
  <c r="F517" i="10" s="1"/>
  <c r="D161" i="10"/>
  <c r="D254" i="10"/>
  <c r="D252" i="10"/>
  <c r="D250" i="10"/>
  <c r="D248" i="10"/>
  <c r="D245" i="10"/>
  <c r="D242" i="10"/>
  <c r="D256" i="10" l="1"/>
  <c r="G161" i="10"/>
  <c r="G179" i="10"/>
  <c r="G256" i="10"/>
  <c r="G411" i="10" s="1"/>
  <c r="F989" i="10"/>
  <c r="F2458" i="10" l="1"/>
  <c r="F2587" i="10" l="1"/>
  <c r="F2105" i="10" l="1"/>
  <c r="F143" i="10"/>
  <c r="F2410" i="10"/>
  <c r="F2398" i="10"/>
  <c r="F2360" i="10"/>
  <c r="F2355" i="10"/>
  <c r="F2331" i="10"/>
  <c r="F2276" i="10"/>
  <c r="F2428" i="10" s="1"/>
  <c r="F879" i="10" l="1"/>
  <c r="F922" i="10" s="1"/>
  <c r="F374" i="10" l="1"/>
  <c r="F460" i="10"/>
  <c r="G425" i="10"/>
  <c r="G426" i="10" s="1"/>
  <c r="F1247" i="10"/>
  <c r="F1267" i="10"/>
  <c r="F1275" i="10"/>
  <c r="F1394" i="10"/>
  <c r="A1401" i="10"/>
  <c r="A2551" i="10"/>
  <c r="F2681" i="10" l="1"/>
  <c r="F2582" i="10" l="1"/>
  <c r="A2727" i="10" l="1"/>
  <c r="F410" i="10" l="1"/>
  <c r="F2674" i="10" l="1"/>
  <c r="F2668" i="10"/>
  <c r="F2665" i="10"/>
  <c r="F2494" i="10" l="1"/>
  <c r="A2496" i="10"/>
  <c r="F2496" i="10" l="1"/>
  <c r="F2726" i="10" s="1"/>
  <c r="F2225" i="10"/>
  <c r="F2202" i="10"/>
  <c r="F2193" i="10"/>
  <c r="F2185" i="10"/>
  <c r="F2164" i="10" l="1"/>
  <c r="F2132" i="10"/>
  <c r="F2168" i="10" l="1"/>
  <c r="F2122" i="10"/>
  <c r="F2252" i="10" s="1"/>
  <c r="A2719" i="10"/>
  <c r="A2718" i="10"/>
  <c r="A2717" i="10"/>
  <c r="A2716" i="10"/>
  <c r="A2715" i="10"/>
  <c r="A2714" i="10"/>
  <c r="F2709" i="10"/>
  <c r="F1364" i="10" l="1"/>
  <c r="F948" i="10" l="1"/>
  <c r="F1347" i="10" l="1"/>
  <c r="F1341" i="10"/>
  <c r="F1328" i="10"/>
  <c r="A2729" i="10"/>
  <c r="A2728" i="10"/>
  <c r="A2726" i="10"/>
  <c r="A2725" i="10"/>
  <c r="A2724" i="10"/>
  <c r="A2721" i="10"/>
  <c r="A2720" i="10"/>
  <c r="A2711" i="10"/>
  <c r="F2680" i="10"/>
  <c r="F2711" i="10" s="1"/>
  <c r="A2640" i="10"/>
  <c r="F2572" i="10"/>
  <c r="F2640" i="10" s="1"/>
  <c r="A2428" i="10"/>
  <c r="A2252" i="10"/>
  <c r="H2156" i="10"/>
  <c r="F1358" i="10"/>
  <c r="F1257" i="10"/>
  <c r="F1210" i="10"/>
  <c r="F1197" i="10"/>
  <c r="F1171" i="10"/>
  <c r="F1154" i="10"/>
  <c r="F1144" i="10"/>
  <c r="F1139" i="10"/>
  <c r="F1127" i="10"/>
  <c r="F1109" i="10"/>
  <c r="F1073" i="10"/>
  <c r="F1401" i="10" l="1"/>
  <c r="F2095" i="10" l="1"/>
  <c r="F2723" i="10" s="1"/>
  <c r="F2722" i="10"/>
  <c r="F2721" i="10"/>
  <c r="F2727" i="10"/>
  <c r="F2729" i="10"/>
  <c r="F2725" i="10"/>
  <c r="F2724" i="10"/>
  <c r="F2720" i="10" l="1"/>
  <c r="F973" i="10"/>
  <c r="F939" i="10"/>
  <c r="F804" i="10" l="1"/>
  <c r="F840" i="10"/>
  <c r="F822" i="10"/>
  <c r="F785" i="10"/>
  <c r="G750" i="10" l="1"/>
  <c r="F750" i="10"/>
  <c r="F736" i="10"/>
  <c r="F724" i="10"/>
  <c r="F697" i="10"/>
  <c r="F2728" i="10" l="1"/>
  <c r="F680" i="10"/>
  <c r="F675" i="10"/>
  <c r="F658" i="10" l="1"/>
  <c r="F652" i="10" l="1"/>
  <c r="F36" i="10" l="1"/>
  <c r="F492" i="10" l="1"/>
  <c r="F272" i="10"/>
  <c r="F363" i="10" l="1"/>
  <c r="F366" i="10"/>
  <c r="F92" i="10" l="1"/>
  <c r="F74" i="10"/>
  <c r="F256" i="10" l="1"/>
  <c r="F233" i="10"/>
  <c r="F217" i="10"/>
  <c r="F197" i="10"/>
  <c r="F179" i="10"/>
  <c r="F161" i="10"/>
  <c r="F131" i="10"/>
  <c r="F111" i="10"/>
  <c r="F42" i="10"/>
  <c r="F30" i="10"/>
  <c r="F63" i="10" l="1"/>
  <c r="F440" i="10"/>
  <c r="F351" i="10"/>
  <c r="F412" i="10" s="1"/>
  <c r="H414" i="10" l="1"/>
  <c r="F678" i="10" l="1"/>
  <c r="H202" i="10" l="1"/>
  <c r="G415" i="10" l="1"/>
  <c r="K733" i="10" l="1"/>
  <c r="F415" i="10" l="1"/>
  <c r="F2718" i="10" l="1"/>
  <c r="F1008" i="10"/>
  <c r="F1303" i="10" s="1"/>
  <c r="F2719" i="10" l="1"/>
  <c r="F663" i="10" l="1"/>
  <c r="F864" i="10" s="1"/>
  <c r="G417" i="10" l="1"/>
  <c r="F419" i="10" l="1"/>
  <c r="F2716" i="10" s="1"/>
  <c r="F2714" i="10" l="1"/>
  <c r="A922" i="10" l="1"/>
  <c r="A864" i="10"/>
  <c r="A419" i="10" l="1"/>
  <c r="A412" i="10"/>
  <c r="A63" i="10" l="1"/>
  <c r="F2715" i="10" l="1"/>
  <c r="F2717" i="10" l="1"/>
  <c r="F2731" i="10" s="1"/>
  <c r="G864" i="10"/>
  <c r="G2731" i="10" l="1"/>
  <c r="F2732" i="10"/>
  <c r="F2733" i="10" s="1"/>
</calcChain>
</file>

<file path=xl/sharedStrings.xml><?xml version="1.0" encoding="utf-8"?>
<sst xmlns="http://schemas.openxmlformats.org/spreadsheetml/2006/main" count="2517" uniqueCount="1719">
  <si>
    <t>ФАСАДЕРСКИ РАДОВИ - укупно</t>
  </si>
  <si>
    <t>6.3.</t>
  </si>
  <si>
    <t>6.4.</t>
  </si>
  <si>
    <t>6.5.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</si>
  <si>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</si>
  <si>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</si>
  <si>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</si>
  <si>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</si>
  <si>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</si>
  <si>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</si>
  <si>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</si>
  <si>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</si>
  <si>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</si>
  <si>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</si>
  <si>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</si>
  <si>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</si>
  <si>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</si>
  <si>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</si>
  <si>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</si>
  <si>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</si>
  <si>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</si>
  <si>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</si>
  <si>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</si>
  <si>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</si>
  <si>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</si>
  <si>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</si>
  <si>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</si>
  <si>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</si>
  <si>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</si>
  <si>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</si>
  <si>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</si>
  <si>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</si>
  <si>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</si>
  <si>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</si>
  <si>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</si>
  <si>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</si>
  <si>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</si>
  <si>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</si>
  <si>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</si>
  <si>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</si>
  <si>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</si>
  <si>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</si>
  <si>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</si>
  <si>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</si>
  <si>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</si>
  <si>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</si>
  <si>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</si>
  <si>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</si>
  <si>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</si>
  <si>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</si>
  <si>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</si>
  <si>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</si>
  <si>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</si>
  <si>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</si>
  <si>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</si>
  <si>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</si>
  <si>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</si>
  <si>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</si>
  <si>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</si>
  <si>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</si>
  <si>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</si>
  <si>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</si>
  <si>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</si>
  <si>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</si>
  <si>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</si>
  <si>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</si>
  <si>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</si>
  <si>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</si>
  <si>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</si>
  <si>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</si>
  <si>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</si>
  <si>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</si>
  <si>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</si>
  <si>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</si>
  <si>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</si>
  <si>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</si>
  <si>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</si>
  <si>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</si>
  <si>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</si>
  <si>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</si>
  <si>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</si>
  <si>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</si>
  <si>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</si>
  <si>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</si>
  <si>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</si>
  <si>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</si>
  <si>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</si>
  <si>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</si>
  <si>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</si>
  <si>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</si>
  <si>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</si>
  <si>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</si>
  <si>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</si>
  <si>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</si>
  <si>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</si>
  <si>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</si>
  <si>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</si>
  <si>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</si>
  <si>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</si>
  <si>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</si>
  <si>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</si>
  <si>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</si>
  <si>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</si>
  <si>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</si>
  <si>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</si>
  <si>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</si>
  <si>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</si>
  <si>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</si>
  <si>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</si>
  <si>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</si>
  <si>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</si>
  <si>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</si>
  <si>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16.7.</t>
  </si>
  <si>
    <t>ознака 1 у кругу</t>
  </si>
  <si>
    <t>ознака 2 у кругу</t>
  </si>
  <si>
    <t>ознака 4 у дуплом квадрату</t>
  </si>
  <si>
    <t>ознака 5 у дуплом квадрату</t>
  </si>
  <si>
    <t>1.2.</t>
  </si>
  <si>
    <t>5.3.</t>
  </si>
  <si>
    <t>15.4.</t>
  </si>
  <si>
    <t>Радити у свему према спецификацији произвођача.</t>
  </si>
  <si>
    <t>7.5.</t>
  </si>
  <si>
    <t>вертикала Ø 125 мм</t>
  </si>
  <si>
    <t xml:space="preserve">приземље </t>
  </si>
  <si>
    <t>плоча на коти ±0,00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</si>
  <si>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</si>
  <si>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</si>
  <si>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</si>
  <si>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</si>
  <si>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</si>
  <si>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</si>
  <si>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2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</si>
  <si>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</si>
  <si>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</si>
  <si>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</si>
  <si>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</si>
  <si>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</si>
  <si>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м¹ уграђених и финално обрађених ограда.</t>
  </si>
  <si>
    <t>2.4.</t>
  </si>
  <si>
    <t>2.5.</t>
  </si>
  <si>
    <t>2.5.1.</t>
  </si>
  <si>
    <t>2.5.2.</t>
  </si>
  <si>
    <t>2.7.</t>
  </si>
  <si>
    <t>2.8.</t>
  </si>
  <si>
    <t>фасадни зидови</t>
  </si>
  <si>
    <t>4.2.</t>
  </si>
  <si>
    <t>4.3.</t>
  </si>
  <si>
    <t>укупно Пос 4.7.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</si>
  <si>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</si>
  <si>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</si>
  <si>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</si>
  <si>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</si>
  <si>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</si>
  <si>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</si>
  <si>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</si>
  <si>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6.3.1.</t>
  </si>
  <si>
    <t>6.3.2.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</si>
  <si>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</si>
  <si>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</si>
  <si>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</si>
  <si>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</si>
  <si>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</si>
  <si>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</si>
  <si>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</si>
  <si>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16.4.</t>
  </si>
  <si>
    <t>6.8.</t>
  </si>
  <si>
    <t>6.9.</t>
  </si>
  <si>
    <t>2.11.</t>
  </si>
  <si>
    <t>рампа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</si>
  <si>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</si>
  <si>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</si>
  <si>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</si>
  <si>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</si>
  <si>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</si>
  <si>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</si>
  <si>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сутерен</t>
  </si>
  <si>
    <t>Набавка материјала, израда и уградња подизна метална решетка -  улаз у објекат.</t>
  </si>
  <si>
    <t>2.2.1.</t>
  </si>
  <si>
    <t>2.2.2.</t>
  </si>
  <si>
    <t>вертикални серклажи</t>
  </si>
  <si>
    <t>=2,9*8</t>
  </si>
  <si>
    <t>4.10.</t>
  </si>
  <si>
    <t>Обрачун по м² хоризонталне пројекције уграђене и заштићене кровне конструкције.</t>
  </si>
  <si>
    <t>укупно Пос 12.3.</t>
  </si>
  <si>
    <t>укупно Пос 15.2.</t>
  </si>
  <si>
    <t>зидарска мера 90/210цм</t>
  </si>
  <si>
    <t>ознака 2 у осмоуглу</t>
  </si>
  <si>
    <t>Ограду радити према датим шемама.</t>
  </si>
  <si>
    <t>унутрашња ограда степеништа</t>
  </si>
  <si>
    <t>9.1.</t>
  </si>
  <si>
    <t>ознака 2*   у дуплом кругу</t>
  </si>
  <si>
    <t>ознака 1А у квадрату</t>
  </si>
  <si>
    <t>Израда према радионичких детаљима произвођача са обавезним усаглашавањем са пројектантом.</t>
  </si>
  <si>
    <t>1.4.</t>
  </si>
  <si>
    <t>16.8.</t>
  </si>
  <si>
    <t>2.12.</t>
  </si>
  <si>
    <t>4.12.</t>
  </si>
  <si>
    <t>4.13.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</si>
  <si>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</si>
  <si>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</si>
  <si>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</si>
  <si>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</si>
  <si>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</si>
  <si>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</si>
  <si>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</si>
  <si>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</si>
  <si>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</si>
  <si>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</si>
  <si>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</si>
  <si>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</si>
  <si>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</si>
  <si>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</si>
  <si>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</si>
  <si>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6.12.</t>
  </si>
  <si>
    <t>13.2.</t>
  </si>
  <si>
    <t>13.3.</t>
  </si>
  <si>
    <t>16.5.</t>
  </si>
  <si>
    <t>Обрачун по м³ са свом потребном оплатом.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</si>
  <si>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</si>
  <si>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</si>
  <si>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</si>
  <si>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</si>
  <si>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</si>
  <si>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4.4.</t>
  </si>
  <si>
    <t>укупно Пос 4.5.</t>
  </si>
  <si>
    <t xml:space="preserve">Током извођења радова обезбедити стални геотехнички надзор. </t>
  </si>
  <si>
    <t>1.5.</t>
  </si>
  <si>
    <t>2.3.</t>
  </si>
  <si>
    <t>укупно Пос 4.10.</t>
  </si>
  <si>
    <t>4.14.</t>
  </si>
  <si>
    <t>4.14.1.</t>
  </si>
  <si>
    <t>укупно Пос 4.14.1.</t>
  </si>
  <si>
    <t>4.14.2.</t>
  </si>
  <si>
    <t>4.14.3.</t>
  </si>
  <si>
    <t>4.15.</t>
  </si>
  <si>
    <t>4.15.1.</t>
  </si>
  <si>
    <t>укупно Пос 4.15.1.</t>
  </si>
  <si>
    <t>4.16.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</si>
  <si>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</si>
  <si>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</si>
  <si>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</si>
  <si>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</si>
  <si>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</si>
  <si>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</si>
  <si>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</si>
  <si>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</si>
  <si>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</si>
  <si>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</si>
  <si>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</si>
  <si>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</si>
  <si>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</si>
  <si>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</si>
  <si>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</si>
  <si>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</si>
  <si>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</si>
  <si>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</si>
  <si>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</si>
  <si>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</si>
  <si>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</si>
  <si>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 xml:space="preserve">ПП капак на ревизионом отвору 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</si>
  <si>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</si>
  <si>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</si>
  <si>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</si>
  <si>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</si>
  <si>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</si>
  <si>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</si>
  <si>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Радити у свему према Геотехничком елаборату, Техничком извештају уз Пројекат конструкције и уз надзор геомеханичара.</t>
  </si>
  <si>
    <t>Обрачун по м² са свом потребном глаком платом и челичним подупирачима.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</si>
  <si>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</si>
  <si>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</si>
  <si>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</si>
  <si>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</si>
  <si>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</si>
  <si>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</si>
  <si>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</si>
  <si>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</si>
  <si>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</si>
  <si>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>6.4.1.</t>
  </si>
  <si>
    <t>укупно Пос 6.4.1.</t>
  </si>
  <si>
    <t>6.4.2.</t>
  </si>
  <si>
    <t>12.1.</t>
  </si>
  <si>
    <t>укупно Пос 15.4.</t>
  </si>
  <si>
    <t>6.7.1.</t>
  </si>
  <si>
    <t>укупно Пос 6.7.1.</t>
  </si>
  <si>
    <t>6.7.2.</t>
  </si>
  <si>
    <t>укупно Пос 6.7.2.</t>
  </si>
  <si>
    <t>6.11.1.</t>
  </si>
  <si>
    <t>6.11.2.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</si>
  <si>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</si>
  <si>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</si>
  <si>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</si>
  <si>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</si>
  <si>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</si>
  <si>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</si>
  <si>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</si>
  <si>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8.6.</t>
  </si>
  <si>
    <t>Обрачун по м³ са потребном оплатом.</t>
  </si>
  <si>
    <t xml:space="preserve">Набавка материјала и израда преграда у станарским оставама. Израђене су  од чамове грађе II класе,  дрвеним штафлама 5/8 цм са испуном од летви 3/5 цм. </t>
  </si>
  <si>
    <t>Преграде снабдети једнокрилним вратима димензија 80/200 цм, израђеним од летви, са шаркама и резом са катанцем и кључевима.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</si>
  <si>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</si>
  <si>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</si>
  <si>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</si>
  <si>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</si>
  <si>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</si>
  <si>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</si>
  <si>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</si>
  <si>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8.7.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</si>
  <si>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</si>
  <si>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</si>
  <si>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</si>
  <si>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</si>
  <si>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</si>
  <si>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</si>
  <si>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</si>
  <si>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?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</si>
  <si>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</si>
  <si>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</si>
  <si>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</si>
  <si>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Обрачун по м², са потребном оплатом и челичним подупирачима.</t>
  </si>
  <si>
    <t>стубови правоугаоног пресека</t>
  </si>
  <si>
    <t>2.14.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</si>
  <si>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</si>
  <si>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</si>
  <si>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</si>
  <si>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</si>
  <si>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2.17.</t>
  </si>
  <si>
    <t>степеници 16,38/30 цм</t>
  </si>
  <si>
    <t>2.18.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</si>
  <si>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на улазу у објекат.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</si>
  <si>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</si>
  <si>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</si>
  <si>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</si>
  <si>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</si>
  <si>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</si>
  <si>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</si>
  <si>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</si>
  <si>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Рампа је дебљине дп=15 цм, са падом према графичкој документацији.</t>
  </si>
  <si>
    <t xml:space="preserve">Набавка материјала, транспорт и бетонирање зидова рампе дебљине дз=15 цм, армираним бетоном МБ 30 (С25/30), са остављањем потребних анкера. </t>
  </si>
  <si>
    <t>није на тлу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</si>
  <si>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</si>
  <si>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</si>
  <si>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</si>
  <si>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</si>
  <si>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</si>
  <si>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</si>
  <si>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</si>
  <si>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 xml:space="preserve">Набавка материјала, транспорт и бетонирање рампе на улазу у објекат, армираним бетоном МБ 30 (С25/30).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</si>
  <si>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</si>
  <si>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</si>
  <si>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</si>
  <si>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</si>
  <si>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</si>
  <si>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укупно Пос 4.2.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</si>
  <si>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</si>
  <si>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</si>
  <si>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</si>
  <si>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</si>
  <si>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</si>
  <si>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</si>
  <si>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</si>
  <si>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</si>
  <si>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>Бетон се лије као подлога за хидроизолацију подних плоча (под ПТП).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</si>
  <si>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</si>
  <si>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</si>
  <si>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</si>
  <si>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>Набавка материјала, транспорт и уградња неармираног бетона МБ 20, дебљине д=6 цм.</t>
  </si>
  <si>
    <t>Бетон се лије као заштита хидроизолације подне плоче (под ПТП).</t>
  </si>
  <si>
    <t xml:space="preserve">Бетон је водонепропусни V-6. </t>
  </si>
  <si>
    <t>плоче тераса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</si>
  <si>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</si>
  <si>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</si>
  <si>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</si>
  <si>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</si>
  <si>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</si>
  <si>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</si>
  <si>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</si>
  <si>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</si>
  <si>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</si>
  <si>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</si>
  <si>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</si>
  <si>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</si>
  <si>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</si>
  <si>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</si>
  <si>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</si>
  <si>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</si>
  <si>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</si>
  <si>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</si>
  <si>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</si>
  <si>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</si>
  <si>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</si>
  <si>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</si>
  <si>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</si>
  <si>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</si>
  <si>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</si>
  <si>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</si>
  <si>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</si>
  <si>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</si>
  <si>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</si>
  <si>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</si>
  <si>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</si>
  <si>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</si>
  <si>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цементна кошуљица у паду д=3-4,5 цм</t>
  </si>
  <si>
    <t>Дилатационе спојнице се постављају на мах 25 м².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</si>
  <si>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</si>
  <si>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</si>
  <si>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4.18.</t>
  </si>
  <si>
    <t>укупно Пос 4.18.</t>
  </si>
  <si>
    <t>4.15.2.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</si>
  <si>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</si>
  <si>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</si>
  <si>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</si>
  <si>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</si>
  <si>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</si>
  <si>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</si>
  <si>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</si>
  <si>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</si>
  <si>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</si>
  <si>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</si>
  <si>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Хидроизолација се изводи преко подлоге од неармираног бетона.</t>
  </si>
  <si>
    <t>Изолацију уз обимне зидове, преко холкела, подићи за 20 цм, а иза када до висине од 180 цм, што је саставни део позиције.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</si>
  <si>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</si>
  <si>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</si>
  <si>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</si>
  <si>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</si>
  <si>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</si>
  <si>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</si>
  <si>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</si>
  <si>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</si>
  <si>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</si>
  <si>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</si>
  <si>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</si>
  <si>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</si>
  <si>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</si>
  <si>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</si>
  <si>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</si>
  <si>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</si>
  <si>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</si>
  <si>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</si>
  <si>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</si>
  <si>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</si>
  <si>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камена минерална вуна д=8 цм</t>
  </si>
  <si>
    <t>фасадни зид ФЗ 1**</t>
  </si>
  <si>
    <t>камена минерална вуна д=5 цм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</si>
  <si>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</si>
  <si>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</si>
  <si>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</si>
  <si>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</si>
  <si>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</si>
  <si>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</si>
  <si>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</si>
  <si>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</si>
  <si>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</si>
  <si>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</si>
  <si>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</si>
  <si>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</si>
  <si>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</si>
  <si>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</si>
  <si>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</si>
  <si>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</si>
  <si>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</si>
  <si>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 xml:space="preserve">Уграђена термоизолација мора имати термичке и механичке особине, прописане елаборатом грађевинске физике, коефицијент топлотне проводљивости  λ≤0,038 W/mK. </t>
  </si>
  <si>
    <t>Термоизолација се лепи и типлује за АБ зид.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</si>
  <si>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</si>
  <si>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</si>
  <si>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</si>
  <si>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</si>
  <si>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</si>
  <si>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</si>
  <si>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</si>
  <si>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</si>
  <si>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</si>
  <si>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</si>
  <si>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</si>
  <si>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</si>
  <si>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</si>
  <si>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</si>
  <si>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</si>
  <si>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</si>
  <si>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</si>
  <si>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</si>
  <si>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</si>
  <si>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</si>
  <si>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- екструдирани полистирен дебљине д=10 цм, са коефицијентом топлотне проводљивости λ≤0,038 W/mK</t>
  </si>
  <si>
    <t>термоизолација конструкције изнад негрејаног простора КИН 4, КИН 5, КИН 6, КИН 7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</si>
  <si>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</si>
  <si>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</si>
  <si>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Набавка материјала, транспорт и израда термоизолационог слоја у поду терасе, ознака ТЕ.</t>
  </si>
  <si>
    <t>Изолација је екструдирани полистирен, поставља се преко армирано бетонске плоче.</t>
  </si>
  <si>
    <t>изолација пода П ТП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</si>
  <si>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</si>
  <si>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</si>
  <si>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</si>
  <si>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</si>
  <si>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</si>
  <si>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</si>
  <si>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</si>
  <si>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</si>
  <si>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</si>
  <si>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</si>
  <si>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</si>
  <si>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</si>
  <si>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</si>
  <si>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</si>
  <si>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7.2.2.</t>
  </si>
  <si>
    <t>7.2.3.</t>
  </si>
  <si>
    <t>плафон од влагоотпорних гипс картонских плоча, спуштање 26 цм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</si>
  <si>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</si>
  <si>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</si>
  <si>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</si>
  <si>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</si>
  <si>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</si>
  <si>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</si>
  <si>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</si>
  <si>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</si>
  <si>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</si>
  <si>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</si>
  <si>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укупно Пос 7.1.1.</t>
  </si>
  <si>
    <t>Хидроизолација је синтетичка PVC мембранa, UV нестабилна, типа             "Sikaplan WP 1100 - 15HL" или одговарајућа, д= 1,5 мм.</t>
  </si>
  <si>
    <t xml:space="preserve">Поставља се на подлогу- бетонска плочу, преко "Sika" геотекстила, на бази полипропилена (PP) са преклопом од 10 цм .   </t>
  </si>
  <si>
    <t>Мембране се слободно полажу и варе врелим ваздухом. Хидроизолација се линеарно учвршћује на подлогу са пластифицираним лимовима, "Sika PVC лим".</t>
  </si>
  <si>
    <t>Уз ободне зидове хидроизолацију подићи за 30 цм.</t>
  </si>
  <si>
    <t xml:space="preserve">Наноси се преко изведеног слоја за пад, на чисту подлогу, прописане влажности. </t>
  </si>
  <si>
    <t xml:space="preserve">Хидроизолација се наноси у више слојева, максимално 3 слоја. Све спојеве зидова и плоча извести додатним ојачањем "Sika Seal Tape S" или одговарајућа (ПП мрежица са PVC ојачањем за већа померања). </t>
  </si>
  <si>
    <t xml:space="preserve">Керамика се може директно полагати у лепку типа "SikaCeram 225" или одговарајући. </t>
  </si>
  <si>
    <t>фасадни зид - сокла ФЗ С д=8 cm</t>
  </si>
  <si>
    <t>ознака 4 у кругу</t>
  </si>
  <si>
    <t>зидарска мера 80/205 цм</t>
  </si>
  <si>
    <t>зидарска мера 90/205 цм</t>
  </si>
  <si>
    <t>ознака 3 у кругу</t>
  </si>
  <si>
    <t>Застакљивање је термоизолационим стаклом 4+16+4мм са  испуном од аргона и нискоемисионим премазом.</t>
  </si>
  <si>
    <t>зидарска мера 180/160цм</t>
  </si>
  <si>
    <t>зидарска мера 100/160цм</t>
  </si>
  <si>
    <t>ознака 3*   у дуплом кругу</t>
  </si>
  <si>
    <t>Оков је системски, са отварањем у складу са сваком појединачном шемом, са одговарајућим сертификатом. </t>
  </si>
  <si>
    <t>Укупан коефицијент за пролаз топлоте мора бити Uw≤1.5W/m²K (доказати прорачуном и приложити доказе).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</si>
  <si>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</si>
  <si>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</si>
  <si>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</si>
  <si>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</si>
  <si>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</si>
  <si>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</si>
  <si>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>фасадна стаклена преграда на степенишном простору, отварање у складу са шемом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</si>
  <si>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</si>
  <si>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</si>
  <si>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</si>
  <si>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дужине 295цм</t>
  </si>
  <si>
    <t>Набавка и уградња заштитне металне ограде. Ограде су изграђене од хладно вучених челичних профила - црна браварија.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</si>
  <si>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</si>
  <si>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спољне ограда на терасама</t>
  </si>
  <si>
    <t>Набавка и уградња заштитне металне ограде- на терасама. Ограде су изграђене од хладно вучених челичних профила - црна браварија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</si>
  <si>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</si>
  <si>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</si>
  <si>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Набавка и уградња заштитне металне ограде- на степеништу. Ограде су изграђене од хладно вучених челичних профила - црна браварија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</si>
  <si>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</si>
  <si>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</si>
  <si>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</si>
  <si>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</si>
  <si>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</si>
  <si>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</si>
  <si>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>10.15.</t>
  </si>
  <si>
    <t>кров K1 и К2</t>
  </si>
  <si>
    <t>5.4.</t>
  </si>
  <si>
    <t>сокла од керамике х=10 цм               кухиње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</si>
  <si>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</si>
  <si>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</si>
  <si>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</si>
  <si>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</si>
  <si>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</si>
  <si>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</si>
  <si>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</si>
  <si>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</si>
  <si>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>Обрачун по м¹ изведене опшивке.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</si>
  <si>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</si>
  <si>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</si>
  <si>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</si>
  <si>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</si>
  <si>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</si>
  <si>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</si>
  <si>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</si>
  <si>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</si>
  <si>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</si>
  <si>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</si>
  <si>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</si>
  <si>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</si>
  <si>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Обрачун по м² изведене опшивке.</t>
  </si>
  <si>
    <t>Опшивку фиксирати за зидове и заптити одговарајућом масом.</t>
  </si>
  <si>
    <t>11.9.</t>
  </si>
  <si>
    <t>11.10.</t>
  </si>
  <si>
    <t>Набавка материјала, транспорт и израда опшивке дилатације у крову. Опшав је од челичног поцинкованог пластифицираног лима дебљине д= 0,6 мм, развијене ширине 70 цм.</t>
  </si>
  <si>
    <t>Опшивка је са обострано препуштеним окапницама.</t>
  </si>
  <si>
    <t>Опшивку фиксирати за кров и заптити одговарајућом масом.</t>
  </si>
  <si>
    <t>11.11.</t>
  </si>
  <si>
    <t>11.12.</t>
  </si>
  <si>
    <t>11.13.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</si>
  <si>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</si>
  <si>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</si>
  <si>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12.1.1.</t>
  </si>
  <si>
    <t>укупно Пос 12.1.2.</t>
  </si>
  <si>
    <t>12.1.3.</t>
  </si>
  <si>
    <t>укупно Пос 12.1.3.</t>
  </si>
  <si>
    <t>укупно Пос 13.2.</t>
  </si>
  <si>
    <t>ПОДОПОЛАГАЧКИ РАДОВИ</t>
  </si>
  <si>
    <t>ПОДОПОЛАГАЧКИ РАДОВИ - укупно</t>
  </si>
  <si>
    <t>укупно Пос 15.1.2.</t>
  </si>
  <si>
    <t>зидови тераса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</si>
  <si>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</si>
  <si>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</si>
  <si>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</si>
  <si>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</si>
  <si>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</si>
  <si>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</si>
  <si>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</si>
  <si>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</si>
  <si>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</si>
  <si>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</si>
  <si>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</si>
  <si>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</si>
  <si>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</si>
  <si>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</si>
  <si>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</si>
  <si>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</si>
  <si>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</si>
  <si>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укупно Пос 14.1.1.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</si>
  <si>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</si>
  <si>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</si>
  <si>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</si>
  <si>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</si>
  <si>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</si>
  <si>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</si>
  <si>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</si>
  <si>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</si>
  <si>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</si>
  <si>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</si>
  <si>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</si>
  <si>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</si>
  <si>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</si>
  <si>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Набавка материјала, транспорт и израда завршног слоја системске фасаде у  тону по избору пројектанта.</t>
  </si>
  <si>
    <t>малтерисање инсталационих канала у  крову и изнад крова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</si>
  <si>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</si>
  <si>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</si>
  <si>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</si>
  <si>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</si>
  <si>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</si>
  <si>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</si>
  <si>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</si>
  <si>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</si>
  <si>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прагови</t>
  </si>
  <si>
    <t>Набавка, транспорт и уградња лајсни на саставу две врсте пода.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</si>
  <si>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</si>
  <si>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</si>
  <si>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Изолација се поставља испод армирано бетонске плоче на оплати. састоји се из следећих слојева:</t>
  </si>
  <si>
    <t>Плоче су димензија 40/40/4 цм, полажу се у цементном малтеру размере 1:3, дебљине д=4 цм (преко изведене аб плоче).</t>
  </si>
  <si>
    <t>тротоар</t>
  </si>
  <si>
    <t>12.2.3.</t>
  </si>
  <si>
    <t>14.1.1.</t>
  </si>
  <si>
    <t>14.1.2.</t>
  </si>
  <si>
    <t>14.1.3.</t>
  </si>
  <si>
    <t>укупно Пос 15.3.</t>
  </si>
  <si>
    <t>12.1.4.</t>
  </si>
  <si>
    <t>Набавка, транспорт и уградња унутрашњих улазних једнокрилних врата.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</si>
  <si>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</si>
  <si>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</si>
  <si>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</si>
  <si>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</si>
  <si>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>Измећу крила и штока поставља се дихтунг профил од неопренске гуме.</t>
  </si>
  <si>
    <t>прагови димензија 100/12/3 цм</t>
  </si>
  <si>
    <t>ознака Р у дуплом квадрату</t>
  </si>
  <si>
    <t>Екструдирани полистирен је дебљине д=10 цм, са коефицијентом топлотне проводљивости λ≤0,035 W/mK</t>
  </si>
  <si>
    <t>6.17.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</si>
  <si>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</si>
  <si>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</si>
  <si>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</si>
  <si>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</si>
  <si>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</si>
  <si>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</si>
  <si>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2.23.</t>
  </si>
  <si>
    <t>- венчаница 14/20 цм</t>
  </si>
  <si>
    <t>2.21.1.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</si>
  <si>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</si>
  <si>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</si>
  <si>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</si>
  <si>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</si>
  <si>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</si>
  <si>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</si>
  <si>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3.За веће серије, извођач је дужан да уради прототип или узорке делова елемената.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</si>
  <si>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</si>
  <si>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</si>
  <si>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</si>
  <si>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</si>
  <si>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</si>
  <si>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</si>
  <si>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</si>
  <si>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</si>
  <si>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</si>
  <si>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</si>
  <si>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</si>
  <si>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>улазно спољно степениште,                                                      степеници 15/30 цм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</si>
  <si>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</si>
  <si>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 xml:space="preserve">хидроизолација  тераса </t>
  </si>
  <si>
    <t>Набавка материјала, транспорт и облагање рампе и тротоара вибро пресовани плочама, типа бехатон или одгoварајуће.</t>
  </si>
  <si>
    <t>=0,20*0,45*10,15+0,25*0,45*(1,55+6,6+1,55*2)+0,2*0,7*3,1</t>
  </si>
  <si>
    <t>=0,20*0,45*(1,62+1,95+2,9+8,05+7,55+3,8+3,0+1,46+2,9*4+4,4*2+4,62+6,68+2,81+1,5+1,2+2,75+13,64)+0,25*0,45*(5,78+5,37+7,65+5,35+12,62+7,87+9,045+5,45+1,55+5,35*2+9,2+1,1+5,13+2,37+2,95+4,55+2,35+2,05)+0,15*0,3*(1,55*12+2,9*6)</t>
  </si>
  <si>
    <t>=0,20*0,40*(6,45+7,4*4+1,2*3+2,7+22,17+7,55*4+4,8*2+3,67+0,8+12,4)+0,25*0,45*(2,65+4,65+15,95+3,0+9,05+1,2+7,4+12,7+5,75+4,95+10,17+4,95)+0,15*0,45*3,1*5+0,16*0,45*1,85</t>
  </si>
  <si>
    <t>плоче на котама +2,95; +5,90; +8,85; 11,80</t>
  </si>
  <si>
    <t>плоча на коти +14,75</t>
  </si>
  <si>
    <t>укупно Пос 2.17.</t>
  </si>
  <si>
    <t>=0,20*2,77*(4,84+5,05+3,84+3,355+4,17+1,15+6,67+2,96+0,91+0,415+2,58+1,81+4,06+0,70+2,86+0,7*2+3,0+1,25+1,3*2+0,8*2*2+1,2*2+0,3+3,75*2+6,25+4,77+2,0+1,25)-0,2*(1,0*1,6+1,8*1,6+1,0*1,6*6+1,0*2,0)+0,2*0,15*(1,2+2,9+1,52*2*5+2,9*5+1,08*3,0+1,85+2,1*2+1,2)</t>
  </si>
  <si>
    <t>=0,25*2,77*(0,7+0,64+2,78+0,7*16+4,15+4,71+2,8+3,2+6,25+2,17)</t>
  </si>
  <si>
    <t>=0,16*2,77*(2,92+1,75*2+1,81+0,55+0,75*2)</t>
  </si>
  <si>
    <t>укупно Пос 2.12.</t>
  </si>
  <si>
    <t>=0,20*2,50*(2,9+1,7*5,64+2,7*4+1,8+1,7+2,9+1,1+1,27+1,63+1,25+4,525+1,805+1,3+3,15+2,15+3,6+3,0+0,9+4,36+4,52)-0,20*(1,8*1,6*8+1,0*1,6*12+1,0*0,6+1,0*2,0+0,9*2,4*4+2,7*2,4*6+2,1*1,6)</t>
  </si>
  <si>
    <t>=2,77*(0,69+0,35)</t>
  </si>
  <si>
    <t>=2,57*4,54</t>
  </si>
  <si>
    <t>=0,25*2,77*(5,88+2,63+6,38+3,57+5,33+5,17+2,15+4,86+0,75+3,83+2,6+2,5+5,88+2,32+2,53+5,38+5,32+1,62+2,34+2,15+2,93)-0,25*1,0*2,1*9</t>
  </si>
  <si>
    <t>=0,19*2,57*(4,74+0,09+2,02+4,54+4,8)</t>
  </si>
  <si>
    <t>=2,77*(6,75+3,15+1,0+2,05+2,5*2+0,83+0,18+1,06+2,0+1,5+0,76+2,3+2,2+0,8+1,57+6,28+6,8+2,48*2+0,4+0,98+3,18+2,07+1,0+2,0+0,31+1,7+2,0+1,6*2+2,6*2+3,95+0,34+3,34+1,95+4,0+1,1+2,15+1,74+2,65*2+1,57+2,5+1,57+6,28+2,15+1,7*2+5,32+3,17+3,04+0,92+0,59+2,6+4,54+0,25+1,745)+1,18*(2,75+1,78+2,88+1,73+2,15)-(0,9*2,05*8+0,8*2,05*22)</t>
  </si>
  <si>
    <t>=2,95*22</t>
  </si>
  <si>
    <t>=2,77*(0,36+0,67+1,0+0,36+0,6+0,36+0,6+0,36+0,6+0,36+0,8+0,7+0,36+0,66+0,36+0,6+0,61+0,35+0,6+0,72*2+0,43+0,36+0,64+0,36+0,725+0,425+0,6+0,36+0,36+0,64+1,0+0,725+0,425)</t>
  </si>
  <si>
    <t>=2,77*(0,61+0,38+0,60)-0,6*0,7*2</t>
  </si>
  <si>
    <t>=2,77*1,48</t>
  </si>
  <si>
    <t>подлога за паркет у подовима КИН 4, КИН 6, КИН 7</t>
  </si>
  <si>
    <t>подлога у поду КИН 5</t>
  </si>
  <si>
    <t>=4,0+4,31+4,02+4,34+4,44+4,31</t>
  </si>
  <si>
    <t>подлога у поду Е 2</t>
  </si>
  <si>
    <t>=4,33+1,59+4,67+4,37+1,57</t>
  </si>
  <si>
    <t>=5,87+11,56+11,41+1,24+3,25+20,34+4,18+12,68+3,22+22,85+4,69+2,5+21,45+4,13+11,61+11,23+1,24</t>
  </si>
  <si>
    <t xml:space="preserve">Пре малтерисања, површину зида припремити , нанети подлогу , па готову смесу малтера, у дебљини од 3-6 мм, у свему према спецификацији и упутству произвођача. </t>
  </si>
  <si>
    <t>зидови СЗ 1, СЗ 1*, СЗ 2, СЗ 2*, СЗ 3</t>
  </si>
  <si>
    <t>=44,85+37,78+29,32+38,90+64,67+ 44,82+35,43+32,45+64,45+37,68+ 59,42+ 20,08</t>
  </si>
  <si>
    <t>Набавка материјала и зидање зидова  дебљине дз=7 цм, пуном опеком, која се зида у продужном малтеру размере 1:2:6, са истовременом израдом хоризонталних армирано бетонских серклажа, бетоном МБ 20, димензије серклажа 7/20 цм, арматура ± 2 ø 10 мм, узенгије ø 8/25.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</si>
  <si>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</si>
  <si>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 мм.</t>
  </si>
  <si>
    <t>4.15.3.</t>
  </si>
  <si>
    <t>4.15.4.</t>
  </si>
  <si>
    <t>укупно Пос 4.15.4.</t>
  </si>
  <si>
    <t>4.15.5.</t>
  </si>
  <si>
    <t>укупно Пос 4.16.2.</t>
  </si>
  <si>
    <t>4.19.</t>
  </si>
  <si>
    <t>укупно Пос 4.19.</t>
  </si>
  <si>
    <t>укупно Пос 4.11.</t>
  </si>
  <si>
    <t>=0,60*(1,9+1,8*2+1,7*3+1,8+1,6+1,85)</t>
  </si>
  <si>
    <t>Набавка материјала, транспорт и малтерисање зидова (зид СЗ5), од поробетона, танкослојним малтером.</t>
  </si>
  <si>
    <t>=2,77*(0,61+0,38+0,60)</t>
  </si>
  <si>
    <t>Набавка материјала, транспорт и малтерисање унутрашњих зидова (подлога за лепљење керамике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</si>
  <si>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=2,77*(2,33+1,9+2,57)</t>
  </si>
  <si>
    <t xml:space="preserve">СТАМБЕНИ ОБЈЕКАТ 1,  на ГП (КП 11891/1 (део), град Врање, зона 1
</t>
  </si>
  <si>
    <t>1. спрат</t>
  </si>
  <si>
    <t>=0,25*0,2*(2,45+2,32+6,0+2,52+5,32*2+1,5+5,15+2,15*2+4,9+2,9+3,83+2,16+5,32+3,57+6,38+6,0+2,63)+0,2*0,2*4,54</t>
  </si>
  <si>
    <t>=0,20*2,50*(2,9+1,7*5,64+2,7*4+1,8+1,7+2,9+1,1+1,27+1,63+1,25+4,525+1,805+1,3+3,15+2,15+3,6+3,0+0,9+4,36+4,52+2,15+3,04)-0,20*(1,8*1,6*8+1,0*1,6*12+1,0*0,6+1,0*2,0+0,9*2,4*4+2,7*2,4*6+2,1*1,6+1,0*1,6+2,7*2,4)</t>
  </si>
  <si>
    <t>=0,25*2,77*(5,88+2,63+6,38+3,57+5,33+5,17+2,15+4,86+0,75+3,83+2,6+2,5+5,88+2,32+2,53+5,38+5,32+1,62+2,34+2,15+2,93+2,72)-0,25*1,0*2,1*9</t>
  </si>
  <si>
    <t>2. и 3. спрат</t>
  </si>
  <si>
    <t>=2*0,25*2,77*(0,7+0,64+2,78+0,7*16+4,15+4,71+2,8+3,2+6,25+2,17)</t>
  </si>
  <si>
    <t>=2*(0,20*2,77*(4,84+5,05+3,84+3,355+4,17+1,15+6,67+2,96+0,91+0,415+2,58+1,81+4,06+0,70+2,86+0,7*2+3,0+1,25+1,3*2+0,8*2*2+1,2*2+0,3+3,75*2+6,25+4,77+2,0+1,25)-0,2*(1,0*1,6+1,8*1,6+1,0*1,6*6+1,0*2,0)+0,2*0,15*(1,2+2,9+1,52*2*5+2,9*5+1,08*3,0+1,85+2,1*2+1,2))</t>
  </si>
  <si>
    <t>2.и 3. спрат</t>
  </si>
  <si>
    <t>=2*0,16*2,77*(2,92+1,75*2+1,81+0,55+0,75*2)</t>
  </si>
  <si>
    <t>=2,77*(0,25*0,70*6+0,25*0,6+0,2*0,25+0,25*0,5*3+0,2*0,25)</t>
  </si>
  <si>
    <t>=0,25*0,6+0,2*0,25+0,25*0,5+0,2*0,7*2</t>
  </si>
  <si>
    <t>=2*(0,25*0,6+0,2*0,25+0,25*0,5+0,2*0,7*2)</t>
  </si>
  <si>
    <t>=0,25*0,2*(2,45+2,32+6,0+2,52+5,32*2+1,5+5,15+2,15*2+4,9+2,9+3,83+2,16+5,32+3,57+6,38+6,0+2,63+2,65+4,55)</t>
  </si>
  <si>
    <t>=2*0,25*0,2*(2,45+2,32+6,0+2,52+5,32*2+1,5+5,15+2,15*2+4,9+2,9+3,83+2,16+5,32+3,57+6,38+6,0+2,63+2,65+4,55)</t>
  </si>
  <si>
    <t>=2*0,20*2,50*(2,9+1,7*5,64+2,7*4+1,8+1,7+2,9+1,1+1,27+1,63+1,25+4,525+1,805+1,3+3,15+2,15+3,6+3,0+0,9+4,36+4,52+2,15+3,04)-2*0,20*(1,8*1,6*8+1,0*1,6*12+1,0*0,6+1,0*2,0+0,9*2,4*4+2,7*2,4*6+2,1*1,6+1,0*1,6+2,7*2,4)</t>
  </si>
  <si>
    <t>=2*0,25*2,77*(5,88+2,63+6,38+3,57+5,33+5,17+2,15+4,86+0,75+3,83+2,6+2,5+5,88+2,32+2,53+5,38+5,32+1,62+2,34+2,15+2,93+2,72)-2*0,25*1,0*2,1*9</t>
  </si>
  <si>
    <t>=2,77*(6,75+3,15+1,0+2,05+2,5*2+0,83+0,18+1,06+2,0+1,5+0,76+2,3+2,2+0,8+1,57+6,28+6,8+2,48*2+0,4+0,98+3,18+2,07+1,0+2,0+0,31+1,7+2,0+1,6*2+2,6*2+3,95+0,34+3,34+1,95+4,0+1,1+2,15+1,74+2,65*2+1,57+2,5+1,57+6,28+2,15+1,7*2+5,32+3,17+3,04+0,92+0,59+2,6+4,54+0,25+1,745+2,06+0,98+2,77+2,27+4,62+1,57)+1,18*(2,75+1,78+2,88+1,73+2,15+2,0)-(0,9*2,05*10+0,8*2,05*23)</t>
  </si>
  <si>
    <t>=2*(2,77*(6,75+3,15+1,0+2,05+2,5*2+0,83+0,18+1,06+2,0+1,5+0,76+2,3+2,2+0,8+1,57+6,28+6,8+2,48*2+0,4+0,98+3,18+2,07+1,0+2,0+0,31+1,7+2,0+1,6*2+2,6*2+3,95+0,34+3,34+1,95+4,0+1,1+2,15+1,74+2,65*2+1,57+2,5+1,57+6,28+2,15+1,7*2+5,32+3,17+3,04+0,92+0,59+2,6+4,54+0,25+1,745+2,06+0,98+2,77+2,27+4,62+1,57)+1,18*(2,75+1,78+2,88+1,73+2,15+2,0)-(0,9*2,05*10+0,8*2,05*23))</t>
  </si>
  <si>
    <t>1.спрат</t>
  </si>
  <si>
    <t>=2*2,77*(0,69+0,35)</t>
  </si>
  <si>
    <t>=2,95*24</t>
  </si>
  <si>
    <t>=2,95*24*2</t>
  </si>
  <si>
    <t>=2*2,77*1,48</t>
  </si>
  <si>
    <t>=2,77*(0,36+0,67+1,0+0,36+0,6+0,36+0,6+0,36+0,6+0,36+0,8+0,7+0,36+0,66+0,36+0,6+0,61+0,35+0,6+0,72*2+0,43+0,36+0,64+0,36+0,725+0,425+0,6+0,36+0,36+0,64+1,0+0,725+0,425+0,36*2+0,6*2)</t>
  </si>
  <si>
    <t>=2*2,77*(0,36+0,67+1,0+0,36+0,6+0,36+0,6+0,36+0,6+0,36+0,8+0,7+0,36+0,66+0,36+0,6+0,61+0,35+0,6+0,72*2+0,43+0,36+0,64+0,36+0,725+0,425+0,6+0,36+0,36+0,64+1,0+0,725+0,425+0,36*2+0,6*2)</t>
  </si>
  <si>
    <t>=2*(2,77*(0,61+0,38+0,60)-0,6*0,7*2)</t>
  </si>
  <si>
    <t>=0,60*(1,9+1,8*2+1,7*3+1,8+1,6+1,85+1,6)</t>
  </si>
  <si>
    <t>=2*0,60*(1,9+1,8*2+1,7*3+1,8+1,6+1,85+1,6)</t>
  </si>
  <si>
    <t xml:space="preserve"> </t>
  </si>
  <si>
    <t>=2*(2,5+21,45+4,95+23,96+11,61+11,23+1,24+0,76+20,01+8,5+3,15+20,27+12,56+1,74+5,16+20,45+11,12+1,11+19,8+8,5+1,04+3,25+20,34+12,66+5,87+23,28+11,56+11,41+1,24+1,95+20,78+7,62+3,73+22,42)</t>
  </si>
  <si>
    <t>поткровље</t>
  </si>
  <si>
    <t>=2,5+21,45+4,95+23,96+11,61+11,23+1,24+0,76+20,01+8,5+3,15+20,27+12,56+5,16+20,44+1,11+19,8+8,5+1,04+20,82+3,25+20,33+12,65+5,87+23,27+11,56+11,41+1,24+1,95+21,0+7,48+3,22+22,91+59,65+4,13+5,46+4,09+4,37+4,14+4,05+4,1+4,18+5,39+4,18+4,28</t>
  </si>
  <si>
    <t>=4,37+4,44+1,57+4,31+3,92+4,0+4,31+4,02+4,36+4,33+1,59+4,34+4,28</t>
  </si>
  <si>
    <t>=2*(4,37+4,44+1,57+4,31+3,92+3,92+4,31+4,02+4,36+4,33+1,59+4,34+4,67)</t>
  </si>
  <si>
    <t>=2,77*(8,6+8,75+5,13+8,55+8,12+8,4+8,55+8,38+8,55+8,61+5,18+8,55+8,37)</t>
  </si>
  <si>
    <t>=2*2,77*(8,6+8,75+5,13+8,55+8,12+8,4+8,55+8,38+8,55+8,61+5,18+8,55+8,37)</t>
  </si>
  <si>
    <t>=2*2,77*(0,61+0,38+0,60)</t>
  </si>
  <si>
    <t>подлога у поду ТЕ, ТЕ2</t>
  </si>
  <si>
    <t>=3,78+3,78+4,0+2,09+4,72+4,0+2,28+2,36+4,98+3,78</t>
  </si>
  <si>
    <t>=2,36+4,98+3,78+3,78+3,78+3,79+4,0+4,0+4,72+4,0+2,28</t>
  </si>
  <si>
    <t>=2*(2,36+4,98+3,78+3,78+3,78+3,79+4,0+4,0+4,72+4,0+2,28)</t>
  </si>
  <si>
    <t>=3,78*2+4,0+2,09+4,72+4,0+2,28+2,36+4,98+3,78+0,2*(2,7*5+1,3*4+0,7*3+1,9+2,73*2)</t>
  </si>
  <si>
    <t>=2,36+4,98+3,78+3,78+3,78+3,79+4,0+4,0+4,72+4,0+2,28+0,2*(2,7*5+1,3*4+0,7*3+1,9+2,73*3)</t>
  </si>
  <si>
    <t>=2*(2,36+4,98+3,78+3,78+3,78+3,79+4,0+4,0+4,72+4,0+2,28+0,2*(2,7*5+1,3*4+0,7*3+1,9+2,73*3))</t>
  </si>
  <si>
    <t>Набавка материјала, транспорт и бетонирање парапетног зида (прага) од мршавог бетона МБ 25,  дебљине д=20 цм, испод отвора за излазак на терасу.</t>
  </si>
  <si>
    <t>=(8,06+8,15)*1,08</t>
  </si>
  <si>
    <t>=1,677*2,85</t>
  </si>
  <si>
    <t>=2,80*3,48</t>
  </si>
  <si>
    <t>Коса плоча дп=15 цм, степеници 16,38/30 цм.</t>
  </si>
  <si>
    <t>2.20.1.</t>
  </si>
  <si>
    <t>2.20.2.</t>
  </si>
  <si>
    <t>плоча подеста дп=15 цм</t>
  </si>
  <si>
    <t>=3,073*1,37*8</t>
  </si>
  <si>
    <t>=3,0*1,35*4</t>
  </si>
  <si>
    <t>2.21.2.</t>
  </si>
  <si>
    <t>Набавка материјала, транспорт и бетонирање горње плоче лифт окна, дебљине дп=20 цм, армираним бетоном МБ 30 (С25/30), са остављањем анкера и отвора.</t>
  </si>
  <si>
    <t>2.22.</t>
  </si>
  <si>
    <t>укупно Пос 2.10.</t>
  </si>
  <si>
    <t>укупно Пос 2.11.</t>
  </si>
  <si>
    <t>2.13.1.</t>
  </si>
  <si>
    <t>укупно Пос 2.13.1.</t>
  </si>
  <si>
    <t>2.13.2.</t>
  </si>
  <si>
    <t>укупно Пос 2.13.2.</t>
  </si>
  <si>
    <t>2.14.1.</t>
  </si>
  <si>
    <t>греде</t>
  </si>
  <si>
    <t>у плочи на коти ±0,00</t>
  </si>
  <si>
    <t>у плочи на коти +2,95</t>
  </si>
  <si>
    <t xml:space="preserve"> у плочи на коти +5,90</t>
  </si>
  <si>
    <t xml:space="preserve"> у плочи на коти +8,85</t>
  </si>
  <si>
    <t xml:space="preserve"> у плочи на коти +11,80</t>
  </si>
  <si>
    <t>у плочи на коти +14,75</t>
  </si>
  <si>
    <t>укупно Пос 2.14.1.</t>
  </si>
  <si>
    <t>2.14.2.</t>
  </si>
  <si>
    <t>укупно Пос 2.14.2.</t>
  </si>
  <si>
    <t>укупно Пос 2.15.</t>
  </si>
  <si>
    <t>Обрачун по м³ са потребном  глатком оплатом и челичним подупирачима.</t>
  </si>
  <si>
    <t>1.  -  3. спрат</t>
  </si>
  <si>
    <t>укупно Пос 2.19.</t>
  </si>
  <si>
    <t>=0,25*((2,45+2,7)/2*4,75+(1,5+2,7)/2*6,3+2,7*(3,9+1,97+3,6+3,67+0,7*11))</t>
  </si>
  <si>
    <t>=0,7*0,25*2,7*8+0,25*0,2*2,7*3+0,25*0,6*2,7+0,2*0,5*2,7</t>
  </si>
  <si>
    <t>=0,2*0,2*2,7*12+0,25*0,20*2,05*11*2</t>
  </si>
  <si>
    <t>=0,16*2,7*(1,75*2+2,92+1,82+0,55+0,75*2)+0,16*1,10*(1,75*2+2,92)</t>
  </si>
  <si>
    <t>поткровље и таван</t>
  </si>
  <si>
    <t>=0,20*(2,45*(5,05+4,84+2,05+6,35)+2,7*(3,0+3,09+6,7+4,95+7,87)+2,45*(4,0+2,5+1,4+3,25+3,85)-(1,0*2,0+0,8*2,0*2+1,0*2,0+1,0*1,6+1,0*1,0*3+1,0*1,6+2,7*2,4+1,0*1,6+1,0*1,0)+(2,1+2,7)/2*(0,8*2+0,5+0,75+3,75)*2+(2,5+2,7)/2*6,25)+0,20*1,10*2,92+0,2*1,1*2,92</t>
  </si>
  <si>
    <t>=0,20*0,10*2,70*5</t>
  </si>
  <si>
    <t>=0,20*0,10*2,70*6</t>
  </si>
  <si>
    <t>=2*0,20*0,10*2,75*6</t>
  </si>
  <si>
    <t>=0,20*0,10*(2,7*3*2+0,8*2+1,0+1,6+1,0+2,1*2)</t>
  </si>
  <si>
    <t>=0,20*(1,7*1,0+1,9*2,72+0,5*1,8+(1,9+2,5)/2*1,1+2,5*(1,16+1,44)+0,5*1,8+0,3*1,6+3,75*1,4+1,5*(0,575*2+0,8+0,68+0,6)+2,7*(1,3+0,7+1,7+1,3+1,9+1,25)+0,5*(1,0*2+1,8+1,8*2+1,0+1,8*2)+0,9*1,0*2+1,7*1,0)</t>
  </si>
  <si>
    <t>=0,25*2,77*(5,88+2,63+6,38+3,57+5,33+5,17+2,15+4,86+0,75+3,83+2,6+2,5+5,88+2,32+2,53+5,38+5,32+1,62+2,34+2,15+2,93+2,72+2,32)-0,25*1,0*2,1*9</t>
  </si>
  <si>
    <t>1. спрат - поткровље</t>
  </si>
  <si>
    <t>=4*0,19*2,77*2,53</t>
  </si>
  <si>
    <t>=2,67*(6,75+3,15+1,0+2,05+2,5*2+0,83+0,18+1,06+2,0+1,5+0,76+2,3+2,2+0,8+1,57+6,28+6,8+2,48*2+0,4+0,98+3,18+2,07+1,0+2,0+0,31+1,7+2,0+1,6*2+2,6*2+3,95+0,34+3,34+1,95+4,0+1,1+2,15+1,74+2,65*2+1,57+2,5+1,57+6,28+2,15+1,7*2+5,32+3,17+3,04+0,92+0,59+2,6+4,54+0,25+1,745+2,06+0,98+2,77+2,27+4,62+1,57)+1,18*(2,75+1,78+2,88+1,73+2,15+2,0)-(0,9*2,05*10+0,8*2,05*23)</t>
  </si>
  <si>
    <t>=59,75*2</t>
  </si>
  <si>
    <t>=2,25+4,45+3,78+3,78+3,78+3,78+4,0+4,0+4,57+1,8+2,06</t>
  </si>
  <si>
    <t>=2,5+21,45+4,95+23,96+11,61+11,23+1,24+0,76+20,01+8,5+3,08+20,13+12,6+1,64+5,16+20,45+11,12+1,11+19,81+8,5+1,04+20,17+3,23+20,34+12,64+5,87+23,26+11,56+11,41+1,24+0,79+20,87+7,63+3,73+22,27</t>
  </si>
  <si>
    <t>=4,37+4,44+1,57+4,31+3,92+3,92+4,31+4,02+4,36+4,33+1,59+4,34+4,67</t>
  </si>
  <si>
    <t>=2,25+4,45+3,78*4+4,0*2+4,57+1,8+2,06+0,2*(2,66+0,6+0,2+1,98+2,9*6+3,03+1,83+0,6+0,2+1,98*3+1,23*3)</t>
  </si>
  <si>
    <t xml:space="preserve">Хидроизолациoни малтер ојачан влакнима "Sikalastic 1K" или одговарајуће. </t>
  </si>
  <si>
    <t>=2,80*(13,47+8,35+5,01+1,45+2,76+5,1+1,4*2+6,24+6,04+13,54+3,22+22,85+1,3+6,92+8,26+3,23+6,53+3,3+12,73+1,83+2,95)-(1,0*1,6+2,7*2,4*5+0,9*2,4*4+2,1*1,6+1,0*1,6+1,0*0,6+1,8*1,6*2+1,0*1,6+1,8*1,6+1,0*1,6+1,6*2,4+1,0*1,6+1,8*1,6+0,9*2,4+1,8*1,6*2+1,0*0,6+1,0*1,6+2,1*1,6+1,0*1,6+1,8*1,6+1,0*1,6+1,0*2,0+1,0*1,6*3+1,55*2,0+2,95*2,67)</t>
  </si>
  <si>
    <t>1. - 3. спрат</t>
  </si>
  <si>
    <t>=3*2,80*(30,57+1,9*2+13,47+15,8+1,42*2+19,25+1,42*2+13,54+26,02+1,42+6,85)-3*(1,0*1,6*11+2,7*2,4*6+0,9*2,4*4+2,1*1,6+1,0*0,6*2+1,8*1,6*7+0,9*2,4*4+2,1*1,6+1,6*2,4+0,9*2,4+2,1*1,6+1,0*2,0+1,55*2,0)</t>
  </si>
  <si>
    <t>Набавка материјала, транспорт и израда термоизолације зидова у поткровљу.</t>
  </si>
  <si>
    <t xml:space="preserve">Потребно је извршити претпремаз за пастозне завршне малтере на основним малтерима и масама за изравњавање  BK Grund Silicat или еквивалентно, у боји фасаде. </t>
  </si>
  <si>
    <t>ФЗ 1, ФЗ 1*, ФЗ 2, ФЗ 2*</t>
  </si>
  <si>
    <t xml:space="preserve">Камена вуна мора бити произведена у складу са стандардом СРПС ЕН 13162,отпорност према протоку ваздуха АF5, топлотне проводљивости λ≤0,035 W/мК. </t>
  </si>
  <si>
    <t>зид са ознаком ФЗП1, ФЗП1*, ФЗП2, ФЗП2*</t>
  </si>
  <si>
    <t>=2,1*(3,51+6,27+1+2,48+5,36+3,72+5,13+6,31)+2,7*(2,65+1,76+7,68+13,72+2,1*2+6,5+1,3+7,6+3,5+3,1+13,5+6,12+1,56+7,97+18,51)-(2,1*2,1+1*1+1,8*1*2+1*1,6+2,7*2,4*6+1,55*1,6+1*1,6*2+1*1*3+1,8*1+2,1*2,1+1*0,6+1+2+1,8*1,5*2+1*2+1,8*1+1,6*2,6+1*1,6+1,8*1+1,8*1,5+1*2*2+0,8*2*2+1*0,6+1,6*2,25)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</si>
  <si>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 слоја.</t>
  </si>
  <si>
    <t>=2,80*5*(0,8*2+0,3*2+1,25*2+0,35+0,8*2+0,3*2)</t>
  </si>
  <si>
    <t>=0,50*132,3</t>
  </si>
  <si>
    <t>подлога у подовима Е4</t>
  </si>
  <si>
    <t>=2,77*(1,45+6,62+4,86+4,75+16,95+1,47+26,5+1,47+1,1+2,68+1,1+4,46+4,49+3,61+2,2+2,25+1,80+1,1+2,8+1,1+2,68+1,48+1,87+1,48)-(1,55*2,0-3,0)</t>
  </si>
  <si>
    <t>=2,77*(82,31+13,16+2,68+1,10*2+4,46+1,48+1,87+3,61+1,48+1,80+2,2+2,25+1,48*2+4,0+2,98+1,70+4,45+2,67+1,10)-(1,55*2,0+1,60*2,25-3,0*2)</t>
  </si>
  <si>
    <t>=2*2,77*(82,31+13,16+2,68+1,10*2+4,46+1,48+1,87+3,61+1,48+1,80+2,2+2,25+1,48*2+4,0+2,98+1,70+4,45+2,67+1,10)-2*(1,55*2,0+1,60*2,25-3,0*2)</t>
  </si>
  <si>
    <t>бочни зид и стубови - терасе/лође ФЗСТ</t>
  </si>
  <si>
    <t>приземље - поткровље</t>
  </si>
  <si>
    <t>=2,77*(82,31+13,16)-(1,55*2,0+1,60*2,25+1,0*2,1*11)</t>
  </si>
  <si>
    <t>=2*2,77*(82,31+13,16)-2*(1,55*2,0+1,60*2,25+1,0*2,1*11)</t>
  </si>
  <si>
    <t>=4*2,77*(2,33+1,9+2,57)</t>
  </si>
  <si>
    <t>термоизолација зидова на дилатацији УЗД 1, УЗД  2</t>
  </si>
  <si>
    <t>=2,77*(1,1+2,68+1,1+4,46+4,49+3,61+2,2+2,25+1,80+1,1+2,8+1,1+2,68+1,48+1,87+1,48)</t>
  </si>
  <si>
    <t>=2,77*(2,68+1,10*2+4,46+1,48+1,87+3,61+1,48+1,80+2,2+2,25+1,48*2+4,0+2,98+1,70+4,45+2,67+1,10)</t>
  </si>
  <si>
    <t>=2*2,77*(2,68+1,10*2+4,46+1,48+1,87+3,61+1,48+1,80+2,2+2,25+1,48*2+4,0+2,98+1,70+4,45+2,67+1,10)</t>
  </si>
  <si>
    <t>=2,77*(11,06+19,88+8,52+13,57+4,44+19,22+8,39+12,21+4,24+20,73+8,59+5,78+22,08+8,54+11,26+10,05+23,99+10,0+14,28+13,53+4,45+9,5+19,63+8,54+14,75+7,62+19,92+9,42+6,39+20,61+8,49+9,44+24,52+10,25+14,28+13,43+4,45+3,92+19,64+8,47+12,21)-100,27-(2,1*1,6*2+2,7*2,4*5+1,6*2,4-3,0*8)</t>
  </si>
  <si>
    <t>=2,77*5*(2,53+3,95+0,5+0,8+0,8+1,0)+1,10*5*1,20</t>
  </si>
  <si>
    <t xml:space="preserve">Термоизолација је екструдирани полистирен дебљине  д=8 цм. </t>
  </si>
  <si>
    <t xml:space="preserve">Набавка материјала, транспорт и израда термоизолације у дилатационом зиду. </t>
  </si>
  <si>
    <t>термоизолација еркера Е 1, Е2, Е3</t>
  </si>
  <si>
    <t>=5,87+4,33+11,56+11,41+1,24+1,59+3,25+20,34+4,36+4,18+12,68+3,22+22,85+4,67+4,69+2,5+21,45+4,37+4,13+11,61+11,23+1,24+1,57+14,25</t>
  </si>
  <si>
    <t>2. - 3. спрат</t>
  </si>
  <si>
    <t>подови са ознакама МКС 1, МКС 2, МКС 3, КИН 1, КИН 2, КИН 3, Е 1, Е 2, Е 3)</t>
  </si>
  <si>
    <t>=32,45+64,45+37,68+46,01+44,85+37,78+29,98+44,78+64,66+38,94+35,15</t>
  </si>
  <si>
    <t>=2*(32,45+64,45+37,68+46,01+44,79+37,78+29,15+44,79+64,67+38,87+35,13)</t>
  </si>
  <si>
    <t>=32,45+64,45+37,68+45,56+44,79+37,78+29,33+44,75+64,65+37,8+34,98</t>
  </si>
  <si>
    <t xml:space="preserve"> 2. - 3. спрат</t>
  </si>
  <si>
    <t>=44,85+37,78+29,32+38,90+23,28+5,39+4,95+23,96+4,44+5,46+0,76+20,01+4,31+4,09+8,5+59,42+20,08</t>
  </si>
  <si>
    <t>Набавка материјала, транспорт и израда термоизолације у плафонима негрејаних просторија.</t>
  </si>
  <si>
    <t>Набавка материјала, транспорт и израда термоизолације у подним сендвичима приземља.</t>
  </si>
  <si>
    <t>термоизолација конструкције изнад негрејаног простора КИН 4, КИН 5, КИН 6</t>
  </si>
  <si>
    <t>=44,85+37,78+29,32+38,90+23,28+5,39+4,95+23,96+4,44+5,46+0,76+20,01+4,31+4,09+8,5</t>
  </si>
  <si>
    <t>=3,45*(3,05+4,52)</t>
  </si>
  <si>
    <t>=3,15+20,27+3,92+4,37+12,56+1,74-3,45*(3,05+4,52)</t>
  </si>
  <si>
    <t>Набавка материјала, транспорт и израда термоизолације у поду топлотне подстанице, П ТП.</t>
  </si>
  <si>
    <t>=3,78*2+4,0+2,09+4,72+4,0+2,28+2,36+4,98+3,78</t>
  </si>
  <si>
    <t>=2*(2,36+4,98+3,78+3,78+3,78+3,79+4,0+4,0+4,72+4,0+2,28</t>
  </si>
  <si>
    <t>=2,25+4,45+3,78*4+4,0*2+4,57+1,8+2,06</t>
  </si>
  <si>
    <t>=1,0*2,30*3*2+1,8*1,55*2+1,0*1,55*2</t>
  </si>
  <si>
    <t>облагање зидова влагоотпорним гипс картонским плочама д=2х12,5 мм, СЗ 2***, СЗ 4</t>
  </si>
  <si>
    <t>=2,77*(2,33+1,85+2,59)</t>
  </si>
  <si>
    <t>=2*2,77*(2,33+1,85+2,59)</t>
  </si>
  <si>
    <t>=4,0+4,31+4,02+4,34+4,33+4,36+4,67+4,37+4,44+4,31</t>
  </si>
  <si>
    <t>=4,37+4,44+4,31+1,57+3,92+4,0+4,31+4,02+4,38+4,33+1,59+4,34+4,28</t>
  </si>
  <si>
    <t>=2*(4,37+4,44+4,31+1,57+3,92+4,0+4,31+4,02+4,38+4,33+1,59+4,34+4,28)</t>
  </si>
  <si>
    <t>укупно Пос 7.2.3.</t>
  </si>
  <si>
    <t xml:space="preserve">Облога мора поседовати атест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</si>
  <si>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Продори инсталација кроз противпожарне облоге ће се заптивати вишекомпонентном  ватроотпорном смесом која омогућава исту ватроотпорност продора.</t>
  </si>
  <si>
    <t>На свим истуреним угловима уградити одговарајуће заштитне угаонике. Спојнице између плоча се обрађују смесом за испуњавање спојница.</t>
  </si>
  <si>
    <t>Радити у свему према спецификацији произвођача и Техничком опису.</t>
  </si>
  <si>
    <t>Обрачун по м² изведених зидова без одбијања отвора.</t>
  </si>
  <si>
    <t>7.4.</t>
  </si>
  <si>
    <t>кров са ознаком К1</t>
  </si>
  <si>
    <t>=(12,0+12,64+4,6+5,7+1,7+2,45+1,63+12,7+12,26+4,8+7,6)/0,9355</t>
  </si>
  <si>
    <t>равна плоча</t>
  </si>
  <si>
    <t>2.17.1.</t>
  </si>
  <si>
    <t>=40,56+42,33+18,47*3+340,38</t>
  </si>
  <si>
    <t>2.17.2.</t>
  </si>
  <si>
    <t>коса плоча на коти +14,75</t>
  </si>
  <si>
    <t xml:space="preserve">Изолација се поставља у зони потконструкције лимене облоге ветрене фасаде, типловањем за носећи зид. </t>
  </si>
  <si>
    <t>Набавка материјала и израда термоизолације у косом ветреном крову, преко аб плоче (кров са ознаком К1).</t>
  </si>
  <si>
    <t>Набавка материјала и израда термоизолације ветреног косог крова са ознаком К2.</t>
  </si>
  <si>
    <t>Термоизолација се састоји од:</t>
  </si>
  <si>
    <t>- активне парне бране типа Homeseal LDS5 Silk- Knaufinsulation), спојеве лепити одговарајућом траком</t>
  </si>
  <si>
    <t>- стаклене вуне типа Knaufinsulation Unifit 035, дебљине д=15 цм, са коефицијентом топлотне проводљивости λ≤0,035 W/mK</t>
  </si>
  <si>
    <t>- камене вуне типа Smart roof top - Knaufinsulation или одговарајуће,  дебљине 14 цм, са коефицијентом топлотне проводљивости λ≤0,038 W/mK са паропропусном водонепропусном фолијом</t>
  </si>
  <si>
    <t>Термоизолација је камена вуна типа Smart roof top - Knaufinsulation или одговарајуће,  дебљине 14+15 цм, са стандардом EN 13162, са коефицијентом топлотне проводљивости λ≤0,038 W/mK.  .</t>
  </si>
  <si>
    <t>Термоизолација је камена вуна типа Knaufinsulation Ventacusto, дебљине д=14 цм или одговарајуће.</t>
  </si>
  <si>
    <t>МКС 2, КИН 2, Е 2, Т 2</t>
  </si>
  <si>
    <t>=3,15+4,37</t>
  </si>
  <si>
    <t>Обрачун по м² изведене кошуљице са фибер влакнима.</t>
  </si>
  <si>
    <t>Кошуљицу глатко испердашити и припремити за израду подова.</t>
  </si>
  <si>
    <t xml:space="preserve">Кошуљица је армирана фибер влакнима. Дозирање влакана према спецификацији произвођача.  </t>
  </si>
  <si>
    <t>У просторијама где се полаже паркет, кошуљица мора да буде осушен до 3%.</t>
  </si>
  <si>
    <t>Кошуљицу армирати синтетичким влакнима на бази пропилена (фибер влакна).</t>
  </si>
  <si>
    <t>6.18.</t>
  </si>
  <si>
    <t>6.19.</t>
  </si>
  <si>
    <t>хидроизолација санитарних чворова и тераса</t>
  </si>
  <si>
    <t>Прозорска окапница је од  екструдираног алуминијумског лима и то је саставни део позиције.</t>
  </si>
  <si>
    <t>гранитна керамика д=1цм  на лепку, ветробран, ходници (комуникације)</t>
  </si>
  <si>
    <t>гранитна керамика д=1цм  на лепку облагање горње површине зиданог дела ограде, ширине 18 цм, мере узети на лицу места</t>
  </si>
  <si>
    <t>Набавка материјала и облагање газишта и чела степеника противклизном гранитном керамиком (противклизност Р11), која се полаже на додир, у цементном малтеру размере 1:3, у слогу према избору пројектанта.</t>
  </si>
  <si>
    <t>На споју газишта и чела, уградити противклизну алуминијумску лајсну ширине 3-4цм.</t>
  </si>
  <si>
    <t>Обрачун дат по м¹ развијене ширине газишта и чела степеника са противклизном лајсном.</t>
  </si>
  <si>
    <t>Овако утврђену контурну линију објекта обележити на терену привременим обележивачима које треба уклонити тек када су    зидови озидани до висине изнад земље.</t>
  </si>
  <si>
    <t>Широки ископ земље II и III категорије за темеље објекта са свом потребном подградом.</t>
  </si>
  <si>
    <t>Рашчишћавање терена пре почетка грађења са скидањем шибља и корова и ископом површинског слоја хумуса дебљине 20-30 цм.</t>
  </si>
  <si>
    <t>Обрачун по м³  са одвозом земље на градску депонију, са утоваром и истоваром из возила и грубим планирањем земље на            депонији.</t>
  </si>
  <si>
    <t xml:space="preserve">На коти ископа темеља пре почетка извођења тампон слоја од неармираног  бетона потребно је извршити адекватном механизацијом збијање тла. </t>
  </si>
  <si>
    <t>Темељну јаму изнивелисати са дозвољеним одступањем од  ±3 цм.</t>
  </si>
  <si>
    <t>Ископ радити са потребном подградом у каскадама, према графичкој документацији.</t>
  </si>
  <si>
    <t>- Материјал из ископа треба одлагати најмање 1 m од ивице ископа, до његовог поновног уграђивања или транспорта на одлагалиште које одреди Надзорни орган.</t>
  </si>
  <si>
    <t>=0,91*4,2*3,74+1,1*5,1*3,74+1,05*2,5*3,74+1,43*4,2*5,0+1,65*5,1*5,0+2,48*2,0*5,0+1,28*4,07*1,72+2,66*4,07*2,07+1,9*5,0*4,7+2,34*5,0*4,2+2,25*5,0*3,0+2,1*3,6*2,15+1,88*3,9*5,0+1,52*5,0*4,2+1,11*(3,2*4,2+3,2*3,9+2,15*3,6+3,2*3,0)+2,4*1,91*2,92+1,3*4,75*1,82+1,3*2,92*2,01+1,3*1,63*2,01+1,3*2,38*2,12+1,79*2,25/2*(14,9+25,8+8,3+32,0+14,9+15,8+19,2)</t>
  </si>
  <si>
    <t>Набавка материјала и израда тампон слоја туцаника, испод плоче лифта.</t>
  </si>
  <si>
    <t>Туцаник мора бити чист, без органских примеса.</t>
  </si>
  <si>
    <t>=2,4*1,91*2,92</t>
  </si>
  <si>
    <t xml:space="preserve">Насипање пробраног материјала из ископа око укопаних зидова, према пројектованом терену. </t>
  </si>
  <si>
    <t xml:space="preserve">Земљу набијати у слојевима од по 20 цм, са евентуалним квашењем, до збијености природног тла, у присуству стручног лица. </t>
  </si>
  <si>
    <t>Бетон се лије као подлога за темељне траке и темељну плочу.</t>
  </si>
  <si>
    <t>=754,3-(13,44+21,0+12,48+19,5+15,0+9,6+21,0+9,34+19,03+15,7+21,0+25,5+10,0+8,45+7,0+23,5+21,0)</t>
  </si>
  <si>
    <t xml:space="preserve">Набавка материјала, транспорт и израда доње плоче лифт окна, армираним бетоном МБ 30 (С25/30). </t>
  </si>
  <si>
    <t>Плоча дебљине дп=30 цм се лије у лифт јами, преко шљунка насутог на темељну плочу.</t>
  </si>
  <si>
    <t>2.25.</t>
  </si>
  <si>
    <t>2.24.</t>
  </si>
  <si>
    <t>Набавка материјала и бетонирање расхладне јаме, армираним бетоном МБ 30 (С25/30).</t>
  </si>
  <si>
    <t>Оставити све потребне анкере, радити у свему према статичком прорачуну, плановима оплате и детаљима арматуре.</t>
  </si>
  <si>
    <t>=0,18*(15,7+47,53)</t>
  </si>
  <si>
    <t>=0,18*(279,20+343,88)</t>
  </si>
  <si>
    <t>=0,18*(256,25+393,25)*4</t>
  </si>
  <si>
    <t>=0,18*(40,56+42,33+18,47*3+340,38)</t>
  </si>
  <si>
    <t>Обрачун по м³ са свом потребном глаком платом и челичним подупирачима.</t>
  </si>
  <si>
    <t>=0,20*1,95*2,92</t>
  </si>
  <si>
    <t>=0,15*(2,10*1,35+1,25*1,95+1,25*1,95+1,75*3,05+1,4*2,9*5)</t>
  </si>
  <si>
    <t>=0,15*3*(2,10*1,35+1,25*1,95+1,25*1,95+1,75*3,05+1,4*2,9*6)</t>
  </si>
  <si>
    <t>=0,15*(2,10*1,35+1,25*1,95+1,25*1,95+1,75*3,05+1,4*2,9*6)</t>
  </si>
  <si>
    <t>дп=15 цм, доња плоча расхладне јаме</t>
  </si>
  <si>
    <t>2.23.1.</t>
  </si>
  <si>
    <t>2.23.2.</t>
  </si>
  <si>
    <t>Обрачун по м², са потребном оплатом и подупирачима.</t>
  </si>
  <si>
    <t>2.23.3.</t>
  </si>
  <si>
    <t>дп=15 цм, горња плоча расхладне јаме</t>
  </si>
  <si>
    <t>Набавка материјала и бетонирање инсталационог канала испод плоче на коти ±0,00, армираним бетоном МБ 30 (С25/30).</t>
  </si>
  <si>
    <t>2.24.1.</t>
  </si>
  <si>
    <t>2.24.2.</t>
  </si>
  <si>
    <t>2.24.3.</t>
  </si>
  <si>
    <t>доња плоча канала дп=18 цм</t>
  </si>
  <si>
    <t>горња плоча канала дп=10 цм</t>
  </si>
  <si>
    <t>Обрачун по м³, са потребном оплатом и подупирачима.</t>
  </si>
  <si>
    <t>зид канала дз=20 цм</t>
  </si>
  <si>
    <t>=0,3*2,11*2,92</t>
  </si>
  <si>
    <t xml:space="preserve">Набавка материјала, транспорт и бетонирање темељних трака и темељне плоче инсталационе галерије, армираним бетоном МБ 30 (С25/30), са остављањем потребних анкера. </t>
  </si>
  <si>
    <t>темељна плоча галерије дп=40 цм</t>
  </si>
  <si>
    <t>темељне траке</t>
  </si>
  <si>
    <t>Темељне траке радити у каскадама висине 50 цм, у свему према графичкој документацији.</t>
  </si>
  <si>
    <t>=0,40*(754,3-(13,44+21,0+12,48+19,5+15,0+9,6+21,0+9,34+19,03+15,7+21,0+25,5+10,0+8,45+7,0+23,5+21,0))</t>
  </si>
  <si>
    <t>=0,25*3,92*(19,026,27*3+4,55*3+8,35+20,62+8,02+13,1+6,52)+0,25*3,12*1,72*6+0,25*2,62*1,25*6+0,25*2,12*1,25*6</t>
  </si>
  <si>
    <t>=0,20*3,92*(14,9+4,95*2+6,72*2+9,73+15,6+8,5+4,94+21,65+6,72+4,07+2,52)+0,2*3,12*1,72*2+0,2*2,62*1,25*2+0,2*2,12*1,25*2+0,2*1,35*(6,02+4,9+14,02)+0,2*1,53*4,07</t>
  </si>
  <si>
    <t>=0,16*3,92*(2,92+0,75*2+2,6+2,11*2)</t>
  </si>
  <si>
    <t>=0,25*2,77*5,29</t>
  </si>
  <si>
    <t>=0,25*2,77*1,25</t>
  </si>
  <si>
    <t>=0,25*2,77*1,25*2</t>
  </si>
  <si>
    <t>Кошуљица се изводи  као пливајући под.</t>
  </si>
  <si>
    <t>Горњу површину припремити за израду финалних подова. Кошуљица мора бити равна, чврста и осушена.</t>
  </si>
  <si>
    <t>Обрачун по м² изведене цементне кошуљице, са фибер влакнима и припремом за финалне подове.</t>
  </si>
  <si>
    <t>- јастук 14/14 цм.</t>
  </si>
  <si>
    <t>- венчаница 10/14 цм</t>
  </si>
  <si>
    <t xml:space="preserve">Набавка материјала, транспорт, израда и уградња дрвене конструкције крова, са падом од 38%, на месту баџа 14%. Конструкција је израђена од суве и квалитетне грађе, од четинара  друге класе. </t>
  </si>
  <si>
    <t>Набавка материјала и израда потконструкције за термоизолацију која се поставља испод лима у зидовима поткровља.</t>
  </si>
  <si>
    <t>Радити у свему према пројекту и детаљима</t>
  </si>
  <si>
    <t>Обрачун по м² хоризонталне пројекције уграђене и заштићене потконструкције.</t>
  </si>
  <si>
    <t xml:space="preserve">Потконструкција је израђена од дрвених греда димензија 16/8 цм, од суве и квалитетне грађе, од четинара  друге класе. </t>
  </si>
  <si>
    <t>=(1,18+0,8)*(0,29*2+0,84*2+0,51*2+1,07*2+0,29*2+0,98*2+0,42*2+0,53*2+0,89*2+0,35*2+0,86*2*2+0,29*2*2)+(1,60+0,80)*(1,35*2+0,53*2+1,13*2+0,65*2+0,53*2+0,55*2+0,8*2+0,9*2+0,53*2+0,57*2+1,35*2+0,53*2+1,07*2+0,62*2+0,53*2+1,31*2)</t>
  </si>
  <si>
    <t>елементи су димензија 96/63 цм; 87/145 цм; 99/69 цм; 99/123 цм; 63/76 цм; 63/87 цм; 90/123 цм,  63/91 цм, 145/87 цм, 96/117 цм; 63/108 цм; 87/141 цм; 87/117 цм; 94/63 цм</t>
  </si>
  <si>
    <t>=4,0+4,31+4,02+4,34+4,33+1,59+4,36+4,67+4,37+4,44+1,57+4,31+3,78*2+4,0+2,09+4,72+4,0+2,28+2,36+4,98+0,20*(8,38+8,7+8,38+8,55+8,61+5,18+8,55+  8,79+8,6+8,75+5,13+8,55)+1,6*(0,8*2+1,9+0,7*2*2+1,8*2+(0,7*2+1,7)*3+0,8*2+1,8+0,75*2+1,6+0,8*2+1,85)</t>
  </si>
  <si>
    <t>=4,37+4,44+1,57+4,31+3,92+4,0+4,31+4,02+4,36+4,33+1,59+4,34+4,28+0,20*(8,6+8,75+5,13+8,55+8,12+8,4+8,55+8,38+8,55+8,54+8,61+5,16+8,55+8,54+8,37)+1,6*(0,8*2+1,9+0,7*2*2+1,8*2+(0,7*2+1,7)*3+0,8*2+1,8+0,75*2+1,6*2+0,8*2+1,85)</t>
  </si>
  <si>
    <t>=2*(4,37+4,44+1,57+4,31+3,92+4,0+4,31+4,02+4,36+4,33+1,59+4,34+4,28)+2*0,20*(8,6+8,49+8,75+10,25+5,13+8,55+8,47+8,12+8,8+8,4+8,52+8,55+8,39+8,38+8,59+8,55+8,54+8,61+10,0+5,16+8,55+8,54+8,37+9,12)+2*1,6*(0,8*2+1,9+0,7*2*2+1,8*2+(0,7*2+1,7)*3+0,8*2+1,8+0,75*2+1,6*2+0,8*2+1,85)</t>
  </si>
  <si>
    <t>=4,37+4,44+1,57+4,31+3,92+4,0+4,31+4,02+4,36+4,33+1,59+4,34+4,28+0,20*(8,6+8,75+5,13+8,55+8,12+8,4+8,55+8,38+8,55+8,61+5,16+8,55+8,37)+1,6*(0,8*2+1,9+0,7*2*2+1,8*2+(0,7*2+1,7)*3+0,8*2+1,8+0,75*2+1,6*2+0,8*2+1,85)</t>
  </si>
  <si>
    <t>Набавка материјала, транспорт и опшивање зидова поткровља ОСБ плочама дебљине д=18 мм. Плоче се фиксирају за рогове.</t>
  </si>
  <si>
    <t xml:space="preserve">Набавка материјала и облагање плафона (косих и равних) поткровља. </t>
  </si>
  <si>
    <t>Набавка материјала, транспорт и израда контактне фасаде са каменом вуном – "Bekatherm prestige" или одговарајуће, ЕТА сертификовани фасадни системконтактне фасаде (ETIKS), са завршном обрадом класе реакције на пожар А2с1д0. обухвата следеће позиције:</t>
  </si>
  <si>
    <t>Преко изведене термоизолације предвиђен је завршни слој системске фасаде у  тону по избору пројектанта.</t>
  </si>
  <si>
    <t>камена вуна д=6 цм, термоизолација фасадног зида на месту ролетне</t>
  </si>
  <si>
    <t>=0,20*(2,1*2+0,9*4+2,7*5+1,0*13+1,8*8)</t>
  </si>
  <si>
    <t>=4*0,20*(2,1*2+0,9*4+2,7*6+1,0*14+1,8*8)</t>
  </si>
  <si>
    <t>=578,97+139,48</t>
  </si>
  <si>
    <t>=3,27+3,66+6,45+1,12+2,53+7,75+5,8+3,43+3,83+3,28+12,14+8,2+6,4+4,78+2,56+5,16+8,08+12,12</t>
  </si>
  <si>
    <t>Набавка материјала, израда, транспорт и монтажа висећих олука израђених од челичног поцинкованог пластифицираног лима д=0,6 мм.</t>
  </si>
  <si>
    <t xml:space="preserve">Држаче олука радити од флаха 25/5 мм, од челичног поцинкованог пластифицираног лима, на размаку од 80 цм и нитовати са предње стране. </t>
  </si>
  <si>
    <t>олук развијене ширине око 60 цм</t>
  </si>
  <si>
    <t>Набавка материјала, израда, транспорт и монтажа маске висећих олука израђене од челичног поцинкованог пластифицираног лима д=0,6 мм.</t>
  </si>
  <si>
    <t>Маску радити у свему према детаљу и упутству пројектанта.</t>
  </si>
  <si>
    <t>Обрачун по м¹ уграђене маске висећих олука.</t>
  </si>
  <si>
    <t>маска развијене ширине око 22 цм</t>
  </si>
  <si>
    <t>=11,78*6+14,95*5</t>
  </si>
  <si>
    <t>6.20.</t>
  </si>
  <si>
    <t>5.5.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</si>
  <si>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</si>
  <si>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</si>
  <si>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</si>
  <si>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=8,37+7,02</t>
  </si>
  <si>
    <t>Опшав је са двостраном окапницом. Испод опшивке поставити даску и преко ње кровну лепенку, што је саставни део позиције.</t>
  </si>
  <si>
    <t>развијена ширина око 60 цм</t>
  </si>
  <si>
    <t>Набавка материјала, израда, транспорт и монтажа лежећих олука израђених од челичног поцинкованог пластифицираног лима д=0,7 мм (изводе се преко подлоге од ОСБ плоча).</t>
  </si>
  <si>
    <t>=16,4*2</t>
  </si>
  <si>
    <t>=14,6*2</t>
  </si>
  <si>
    <t>Набавка материјала, транспорт и израда опшивке увале уз зид, вандиксне, поцинкованим лимом, развијене ширине (РШ) 98 цм</t>
  </si>
  <si>
    <t>Опшав је од челичног поцинкованог пластифицираног лима дебљине д=0,6мм.</t>
  </si>
  <si>
    <t>Опшав извести у свему према детаљу. Испод опшивке поставити кровну лепенку, што је саставни део позиције.</t>
  </si>
  <si>
    <t>=2*(2,89+2,28)</t>
  </si>
  <si>
    <t>Испод опшивке поставити кровну лепенку, што је саставни део позиције.</t>
  </si>
  <si>
    <t xml:space="preserve">Опшав фиксирати за армирано бетонски венац преко дистанцера, који формирају пад. </t>
  </si>
  <si>
    <t>=3,43*3+7,55</t>
  </si>
  <si>
    <t xml:space="preserve">Набавка материјала, транспорт и израда опшивке венца на коти +14,95. </t>
  </si>
  <si>
    <t>1.спрат - поткровље</t>
  </si>
  <si>
    <t>=3,27+3,66+6,45+1,12+2,53+7,75+5,8+3,43+3,83+3,28+12,14+8,2+6,4+4,78+2,56+5,16+8,08+12,12+8,37+7,02+3,43*3+7,55</t>
  </si>
  <si>
    <t>олук развијене ширине 77 цм</t>
  </si>
  <si>
    <t>олук развијене ширине 102 цм</t>
  </si>
  <si>
    <t>Набавка материјала, транспорт и израда опшивке дилатације на фасади. Опшав је од челичног поцинкованог пластифицираног лима дебљине  д= 0,6 мм, развијене ширине 50 цм.</t>
  </si>
  <si>
    <t>Опшав је од челичног  поцинкованог пластифицираног лима дебљине д= 0,6 мм, са обострано препуштеном окапницом, укупне развијене ширине 30 цм.</t>
  </si>
  <si>
    <t>Опшав фиксирати за армирано бетонски венац преко дистанцера, који формирају пад.</t>
  </si>
  <si>
    <t>Набавка материјала, транспорт и  постављање паропропусне водонепропусне фолије у крову и зидовима поткровља преко ОСБ плоча, а испод лименог покривача.</t>
  </si>
  <si>
    <t>Спојеве фолије фиксирати лепљивом траком.</t>
  </si>
  <si>
    <t>Радити у свему спецификацији произвођача.</t>
  </si>
  <si>
    <t>керамичке плочице д=1,0 цм,  на лепку у кухињама, купатилима, тоалетима и техничким просторијама</t>
  </si>
  <si>
    <t>=4,0+4,14+4,31+4,05+4,02+4,1+4,34+4,18+4,33+5,39+1,59+4,36+4,18+4,67+4,69+4,37+4,13+4,44+5,46+1,57+4,31+4,09+2,74</t>
  </si>
  <si>
    <t>=4,37+4,13+4,44+5,46+1,57+4,31+4,09+3,92+4,37+4,0+4,14+4,31+4,05+4,02+4,1+4,36+4,18+4,33+5,39+1,59+4,34+4,18+4,28+4,75</t>
  </si>
  <si>
    <t>=2*(4,37+4,13+4,44+5,46+1,57+4,31+4,09+3,92+4,37+4,0+4,14+4,31+4,05+4,02+4,1+4,36+4,18+4,33+5,39+1,59+4,34+4,18+4,28+4,75)</t>
  </si>
  <si>
    <t>=59,42+20,08</t>
  </si>
  <si>
    <t>=59,65+2,84*1,22</t>
  </si>
  <si>
    <t>=2*(59,65+2,84*1,22)</t>
  </si>
  <si>
    <t>=59,71+2,84*1,22</t>
  </si>
  <si>
    <t>гранитна керамика д=1цм  на лепку, терасе и лође</t>
  </si>
  <si>
    <t>=2,36+4,98+3,78+3,78+3,78+3,79+4,0+4,0+4,72+1,93+2,28</t>
  </si>
  <si>
    <t>=2*(2,36+4,98+3,78+3,78+3,78+3,78+4,0+4,0+4,59+1,93+2,28)</t>
  </si>
  <si>
    <t>=8,52+8,39+8,38+8,54+10,0+8,54+8,79+8,6+10,25+8,47</t>
  </si>
  <si>
    <t>=8,49+10,25+8,47+8,8+8,52+8,39+8,59+8,54+10,0+8,54+9,12</t>
  </si>
  <si>
    <t>=2*(8,49+10,25+8,47+8,8+8,52+8,39+8,59+8,54+10,0+8,54+9,12)</t>
  </si>
  <si>
    <t>=82,32+2,84+1,22*2</t>
  </si>
  <si>
    <t>=80,11+6,75*2+2,84+1,22*2</t>
  </si>
  <si>
    <t>=2*(82,32+1,22*2+2,84)</t>
  </si>
  <si>
    <t xml:space="preserve">гранитне сокла од керамике х=10 цм </t>
  </si>
  <si>
    <t>комуникације</t>
  </si>
  <si>
    <t>тераса и лође</t>
  </si>
  <si>
    <t>степенишна сокла од гранитне керамике х=10 цм</t>
  </si>
  <si>
    <t>=2,7*5+1,3*4+0,7*3+1,9+2,73*2</t>
  </si>
  <si>
    <t>=2,7*5+1,3*4+0,7*3+1,9+2,73*3</t>
  </si>
  <si>
    <t>=2*(2,7*5+1,3*4+0,7*3+1,9+2,73*3)</t>
  </si>
  <si>
    <t>=2,66+0,6+0,2+1,98+2,9*6+3,03+1,83+0,6+0,2+1,98*3+1,23*3</t>
  </si>
  <si>
    <t>=3,225*2*3+2,85*2</t>
  </si>
  <si>
    <t>12.3.1.</t>
  </si>
  <si>
    <t>купатила - зидови се облажу до висине х=245 цм, односно 5 цм изнад спуштеног плафона</t>
  </si>
  <si>
    <t>=2,45*(8,38+8,7+8,38+8,55+8,61+5,18+8,55+8,79+8,6+8,75+5,13+8,55)-(1,0*0,6+0,8*2,05*12-0,5*14)</t>
  </si>
  <si>
    <t>=2,45*(8,38+8,7+8,38+8,55+8,61+5,18+8,55+8,79+8,6+8,75+5,13+8,55+8,12)-(1,0*0,6+0,8*2,05*13-0,5*15)</t>
  </si>
  <si>
    <t>=2*2,45*(8,38+8,7+8,38+8,55+8,61+5,18+8,55+8,79+8,6+8,75+5,13+8,55+8,12)-2*(1,0*0,6+0,8*2,05*13-0,5*15)</t>
  </si>
  <si>
    <t>=3,35+0,7*2+1,7+2,53+0,8+0,77+2,5+0,66*2+2,81+0,77+1,7+0,8+2,52+0,6+0,44+2,61+0,77+1,7+0,76+0,77*2+3,3+1,7+2,61+0,77</t>
  </si>
  <si>
    <t>=3,35+0,7*2+1,7+2,53+0,8+0,77+2,5+0,66*2+2,81+0,77+1,7+0,8+2,52+0,6+0,44+2,61+0,77+1,7+0,76+0,77*2+3,3+1,7+2,61+0,77+0,72+1,7+2,7+0,7</t>
  </si>
  <si>
    <t>=2*(3,35+0,7*2+1,7+2,53+0,8+0,77+2,5+0,66*2+2,81+0,77+1,7+0,8+2,52+0,6+0,44+2,61+0,77+1,7+0,76+0,77*2+3,3+1,7+2,61+0,77+0,72+1,7+2,7+0,7)</t>
  </si>
  <si>
    <t>=6*2,75</t>
  </si>
  <si>
    <t>=1,325*8+1,3265*8+3*9*(1,325+1,365)</t>
  </si>
  <si>
    <t>цементна кошуљица д=4,5 цм</t>
  </si>
  <si>
    <t>цементна кошуљица у паду, д=3,5 - 4-5 цм</t>
  </si>
  <si>
    <t>цементна кошуљица у паду, д=3,5 - 5 цм</t>
  </si>
  <si>
    <t>цементна кошуљица у паду, д=4,0 - 5,0 цм</t>
  </si>
  <si>
    <t xml:space="preserve">Набавка материјала, транспорт и израда подлоге за подове од цементне кошуљице. </t>
  </si>
  <si>
    <t>=5,16+20,44+11,12+1,11+19,8+8,5+1,04+20,17+1,95+20,95+7,49+5,87+23,28+11,56+11,41+1,24+3,25+20,34+12,68+3,22+22,85+2,5+21,45+4,95+23,96+11,61+11,23+1,24+0,76+20,01+8,5</t>
  </si>
  <si>
    <t>=2,5+21,45+4,95+23,96+11,61+11,23+1,24+0,76+20,01+8,5+3,15+20,27+12,56+1,74+5,16+20,44+11,12+1,11+19,8+8,5+1,04+20,82+3,25+20,33+12,65+5,87+23,27+11,56+11,41+1,24+1,95+21,0+7,48+3,22+22,91</t>
  </si>
  <si>
    <t>=2*(2,5+21,45+4,95+23,96+11,61+11,23+1,24+0,76+20,01+8,5+3,15+20,27+12,56+1,74+5,16+20,44+11,12+1,11+19,8+8,5+1,04+20,82+3,25+20,33+12,65+5,87+23,27+11,56+11,41+1,24+1,95+21,0+7,48+3,22+22,91)</t>
  </si>
  <si>
    <t xml:space="preserve">-укупна дебљина:  12,6 мм                                                      '-дебљина горњег слоја:  2,8 мм                                                                 '-лак: Classic 5 слојева UV осушен                                                                         </t>
  </si>
  <si>
    <t xml:space="preserve">-систем закљчавања: T-Lock                                                                                                                                                                                                                           '-отпорност на пожар: Dfl-s1 po                       EN 13501-1                                                                                                              '-емисија формалдехида: E1 po                  EN 13986                                                       </t>
  </si>
  <si>
    <t xml:space="preserve">-термичка проводљивост: ≤ 0,110 m²K/W po EN 12664                                                    '-отпорност на лом: 3,5 kN po EN 1533      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</si>
  <si>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</t>
  </si>
  <si>
    <t xml:space="preserve">Влага ваздуха 30% - 50%, температура више од 18°. </t>
  </si>
  <si>
    <t xml:space="preserve">Равноћа подлоге: на дужини од 2м разлика у нивоу не сме бити већа од +/- 3мм. </t>
  </si>
  <si>
    <t>Уградњу вршити лепљењем комплетне површине обавезно полиуретанским двокомпоментним лепилом типа: Мапеи, Узин, Хенкел, Сика.</t>
  </si>
  <si>
    <t xml:space="preserve">Остављати експанзионе размаре између препрека (зидова, стубова, керамике...) 1,50мм на 1м ширине пода, а не мање од 8 мм. </t>
  </si>
  <si>
    <t xml:space="preserve">Зид опшити дрвеном фурнираном лајсном димензија 16 x 16 x 2400мм у дезену дрвета - паркета. </t>
  </si>
  <si>
    <t>У цену урачунати и потребан растур максимално 3-5%. Обратити пажњу да се паркет у ходницима увек уграђује по дужини (пружати даске).</t>
  </si>
  <si>
    <t>=11,06+19,88+13,57+4,44+19,22+12,21+4,24+20,73+5,78+22,08+11,26+10,05+23,99+14,28+13,53+4,45+9,5+19,63+14,75+7,62+19,92+6,39+2,67+9,44+24,52+14,28+13,43+4,45+3,92+19,64+12,21</t>
  </si>
  <si>
    <t>=6,39+20,61+9,44+24,52+14,28+13,43+4,45+3,92+19,64+12,21+7,1+18,01+15,09+5,48+11,06+19,88+13,57+4,44+19,22+12,21+4,24+21,13+9,5+19,63+14,95+10,05+23,99+14,28+13,53+4,45+5,78+22,09+11,26+7,62+19,92</t>
  </si>
  <si>
    <t>=2*(6,39+20,61+9,44+24,52+14,28+13,43+4,45+3,92+19,64+12,21+7,1+18,01+15,09+5,48+11,06+19,88+13,57+4,44+19,22+12,21+4,24+21,13+9,5+19,63+14,95+10,05+23,99+14,28+13,53+4,45+5,78+22,09+11,26+7,62+19,92)</t>
  </si>
  <si>
    <t>=0,8*20+1,73+1,05+1,74+1,13+1,81+2,88+1,88+1,2</t>
  </si>
  <si>
    <t>=0,8*22+1,73+1,05+1,74+1,13+1,81+2,88+1,88+1,2</t>
  </si>
  <si>
    <t>=2*(0,8*22+1,73+1,05+1,74+1,13+1,81+2,88+1,88+1,2)</t>
  </si>
  <si>
    <t>=2,78*2*1,22+3,22*3*2*1,22+1,22*2,84*4</t>
  </si>
  <si>
    <t>=18,50*152,95</t>
  </si>
  <si>
    <t>=2*2,73*1,83+1,985*1,3+2,48*1,18+1,64*1,3+2,73*1,4*5</t>
  </si>
  <si>
    <t>=2*2,73*1,83+1,985*1,3+2,48*1,18+1,64*1,3+2,73*1,4*6</t>
  </si>
  <si>
    <t>=2*(2*2,73*1,83+1,985*1,3+2,48*1,18+1,64*1,3+2,73*1,4*6)</t>
  </si>
  <si>
    <t>=2,47*(20,63+16,09)+2,26*(7,64+12,94)</t>
  </si>
  <si>
    <t>=26,22+3,64+9,53+15,91</t>
  </si>
  <si>
    <t>1.- 3. спрат</t>
  </si>
  <si>
    <t xml:space="preserve">Плафон се облаже пожарноотпорним GKF плочама дебљине д=12,5 мм, отпорним на пожар F30, на сопственој дрвеној потконструкцији, секундарни СD 60x27x0,6 мм у ортогоналном правцу на сваких 40-50 цм. </t>
  </si>
  <si>
    <t xml:space="preserve">Гипсане плоче се причвршћују дозвољеним вијцима за потконструкцију. </t>
  </si>
  <si>
    <t>=1,65*(9,93+6,89+4,8+4,55+30,2+32,5+14,60)</t>
  </si>
  <si>
    <t>=0,30*((1,4*2+2,7)*5+1,1+1,99+1,03+2,73*2+1,03+1,98)+2,72*((0,3*2+0,8*2)*2+1,23+1,35+0,35)+0,85*2+(2,8*4+1,4*2*4)</t>
  </si>
  <si>
    <t>=3*0,30*((1,4*2+2,7)*6+1,1+1,99+1,03+2,73*2+1,03+1,98)+3*2,72*((0,3*2+0,8*2)*2+1,23+1,35+0,35)+3*2*(2,8+1,4*2)</t>
  </si>
  <si>
    <t>=0,30*((1,4*2+2,7)*6+1,1+1,99+1,03+2,73*2+1,03+1,98)+2,72*((0,3*2+0,8*2)*2+1,23+1,35+0,35)+2*(2,8+1,4*2)</t>
  </si>
  <si>
    <t>12.5.</t>
  </si>
  <si>
    <t>=2,1*1,1</t>
  </si>
  <si>
    <t xml:space="preserve">Набавка материјала, транспорт и облагање парапетног зида терасе, првокласном  керамиком домаће производње. </t>
  </si>
  <si>
    <t>укупно Пос 12.5.</t>
  </si>
  <si>
    <t>=3*(1,02+2,78)+4*(1,4*2+3,0)</t>
  </si>
  <si>
    <t>=4*(3*(1,02+2,78)+5*(1,4*2+3,0))</t>
  </si>
  <si>
    <t>=2,8*4+1,4*2*4</t>
  </si>
  <si>
    <t>=4*(1,4*2+2,8)</t>
  </si>
  <si>
    <t>Набавка материјала, транспорт и израда тротоара дебљине д=10 цм,  са ивичном гредом димензија 10/25 цм око објекта.</t>
  </si>
  <si>
    <t>=0,10*0,25*(4,19+1,18+3,21+6,88+13,47+15,08+19,2+14,7+34,07)+0,1*50,74</t>
  </si>
  <si>
    <t>=2,9*1,4</t>
  </si>
  <si>
    <t>=0,18*(15,63+5,2+9,8+13,92+14,83+5,14+3,11+14,3)/0,9348</t>
  </si>
  <si>
    <t>1.6.</t>
  </si>
  <si>
    <t>Набавка материјала и израда тампон слоја шљунка испод тротоара.</t>
  </si>
  <si>
    <t>Шљунак набити и по потреби квасити.</t>
  </si>
  <si>
    <t>=0,15*50,74</t>
  </si>
  <si>
    <t>Зидање је по систему перо-жљеб,  у продужном малтеру размере 1:2:6.</t>
  </si>
  <si>
    <t xml:space="preserve">2. и 3. спрат </t>
  </si>
  <si>
    <t>11.14.</t>
  </si>
  <si>
    <t>Набавка материјала, транспорт и покривање плоче на коти +14,70 равним, поцинкованим, пластифицираним челичним лимом дебљине д=0,6 мм, преко потконструкције (посебно обрачунато).</t>
  </si>
  <si>
    <t>Покривање извести у свему према детаљима и упутству пројектанта.</t>
  </si>
  <si>
    <t>Испод лима поставити кровну лепенку.</t>
  </si>
  <si>
    <t>5.6.</t>
  </si>
  <si>
    <t>Набавка материјала, транспорт и израда дрвене потконструкције испод лименог опшава плоче на коти +14,70.</t>
  </si>
  <si>
    <t>Потконструкција је израђена од летви у паду у свему према графичкој документацији.</t>
  </si>
  <si>
    <t>плоча на коти +14,70</t>
  </si>
  <si>
    <t>гранитна керамика д=1цм на лепку, облагање пода у лифт кабини</t>
  </si>
  <si>
    <t>Обрачун по м¹ изведене облоге.</t>
  </si>
  <si>
    <t>9.2.1.</t>
  </si>
  <si>
    <t>фасадна ПВЦ преграда</t>
  </si>
  <si>
    <t>9.1.1.</t>
  </si>
  <si>
    <t>9.1.2.</t>
  </si>
  <si>
    <t>фасадни ПВЦ прозор</t>
  </si>
  <si>
    <t>Набавка и уградња фасадне ПВЦ столарије израђене од белих ПВЦ петокоморних профила са унутрашњим ојачањем од челичних поцинкованих профила д=1,5мм и са двоструким спољашњим дихтовањем.</t>
  </si>
  <si>
    <t>Застакљивање је термоизолационим стаклом 4+16+4 мм са  испуном од аргона и нискоемисионим премазом.</t>
  </si>
  <si>
    <t>ПВЦ оквир мора садржати подпрозорни профил како би се могла уградити унутрашња даска.</t>
  </si>
  <si>
    <t xml:space="preserve">Укупан коефицијент за пролаз топлоте мора бити Uw≤1.5W/m²K (доказати прорачуном и приложити одговарајуће атесте) </t>
  </si>
  <si>
    <t xml:space="preserve">Предвидети све приборе и заптивне материјале, интегрисани систем вентилисања и дренаже (одвођење кондеза у спољну средину). </t>
  </si>
  <si>
    <t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</t>
  </si>
  <si>
    <t>Фасадна облога покрива вертикалне делове спољашњег рама позиције.</t>
  </si>
  <si>
    <t>Предвидети све приборе и заптивне материјале, интегрисани систем вентилирања и дренаже (одвођење кондеза у спољну средину).</t>
  </si>
  <si>
    <t xml:space="preserve"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</t>
  </si>
  <si>
    <t>9.2.2.</t>
  </si>
  <si>
    <t>9.2.3.</t>
  </si>
  <si>
    <t>9.2.4.</t>
  </si>
  <si>
    <t>Преграда је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</si>
  <si>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Код балконских врата предвидети са унутрашње стране покривну даску од буковог дрвета и то је саставни део позиције.</t>
  </si>
  <si>
    <t>Укупан коефицијент за пролаз топлоте мора бити Uw≤1.5W/m²K (доказати прорачуном и приложити одговарајуће атесте)</t>
  </si>
  <si>
    <t>Врата су са сигурносном бравом у 3 тачке MCM и бродском шарком од инокса носивости до 80 кг и шпијунком на висини 180 цм.</t>
  </si>
  <si>
    <t>унутрашња пуна врата</t>
  </si>
  <si>
    <t>Крило је са свих страна кантовано ABS  траком. Кантовање је полиуретанским лепком.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</si>
  <si>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инокса носивости до 80 кг. </t>
  </si>
  <si>
    <t>8.3.1.</t>
  </si>
  <si>
    <t>8.3.2.</t>
  </si>
  <si>
    <t>Набавка, транспорт и уградња унутрашњих врата.</t>
  </si>
  <si>
    <t>једнокрилна пуна врата</t>
  </si>
  <si>
    <t xml:space="preserve">Врата опремити адекватним  механизмом за клизање у горњој зони, ручицама за повлачење, граничницима и одбојником за заустављање. </t>
  </si>
  <si>
    <t>Целокупан пробор је 
домаће производње. Предвидети маску.</t>
  </si>
  <si>
    <t>једнокрилна врата</t>
  </si>
  <si>
    <t xml:space="preserve">Набавка и уградња фасадне браварије, фасадна преграда са двокрилним  улазним вратима -  на улазу у ветробран. </t>
  </si>
  <si>
    <t>Алуминијумска спољна браварија је израђени су од алуминијумских профила са термопрекидом. Пластификација је у белој боји RAL 9016.</t>
  </si>
  <si>
    <t xml:space="preserve">Уградњу  вршити преко челичних држача и избећи директан контакт челика и алуминијума. </t>
  </si>
  <si>
    <t xml:space="preserve"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</si>
  <si>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 xml:space="preserve">Застакљивање се врши термоизолационим транспарентним стакло пакетом. Конфигурација стакло пакета: 6+16+6 мм са испуном од аргона. </t>
  </si>
  <si>
    <t>Пуни делови преграде - панели поља испред бетонских делова конструкције се израђују уградњом  обостране облоге од алуминијумског лима д=1 мм, са испуном од камене вуне.</t>
  </si>
  <si>
    <t>Набавка и уградња фасадне браварије, фасадна преграда са двокрилним  улазним вратима -  у ветробрану.</t>
  </si>
  <si>
    <t>Алуминијумска спољна браварија је израђени су од алуминијумских профила без термопрекида. Пластификација је у белој боји RAL 9016.</t>
  </si>
  <si>
    <t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</si>
  <si>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 xml:space="preserve">Набавка и уградња фасадне браварије, фасадна стаклена преграда на степенишном простору.         </t>
  </si>
  <si>
    <t>Алуминијумска спољна браварија је израђени су од алуминијумских профила са термопрекидом. Пластификација је у белој боји.</t>
  </si>
  <si>
    <t>Застакљивање се врши термоизолационим транспарентним стакло пакетом. Конфигурација стакло пакета: 4+16+4 мм са испуном од аргона и  нискоемисионим премазом.</t>
  </si>
  <si>
    <t>10.3.1.</t>
  </si>
  <si>
    <t>10.3.2.</t>
  </si>
  <si>
    <t>Горњи, фиксни део се поставља на висини 145cm од коте готовог пода. Доњи део се подиже и спушта клизањем по вођици.</t>
  </si>
  <si>
    <t xml:space="preserve">Газишта су постављена на вертикалним растојањима од 30 цм.
Детаљи фиксирања и веза елемената према спецификацији произвођача. </t>
  </si>
  <si>
    <t>Набавка и уградња телескопских пењалица за излаз у тавански простор.</t>
  </si>
  <si>
    <t>телескопске пењалице</t>
  </si>
  <si>
    <t>врата са жалузином</t>
  </si>
  <si>
    <t xml:space="preserve">Метална врата, крило врата је у раму од челичних профила 40/40мм са обостраном облогом од челичног лима д=2 мм. </t>
  </si>
  <si>
    <t xml:space="preserve">Шток је од челичних кутијастих профила 40/40мм, опшив штока је такође од челичног лима. </t>
  </si>
  <si>
    <t>Радити по детаљу произвођа уз сагласност које усваја Пројектант, уз сагласност Инвеститора.</t>
  </si>
  <si>
    <t xml:space="preserve">Врата снабдети потребним оковом  и цилиндар бравом са кључевима, механизмом за аутоматско затварање врата челичном опругом.
</t>
  </si>
  <si>
    <t>У спровођењу антикорозивне заштите морају се спровести све операције (одмашћивање, чишћење од рђе, премазивање).</t>
  </si>
  <si>
    <t xml:space="preserve">Ограде на подестима, су од одговарајућих хладно вучених челичних профила у свему према шемама у графичкој документацији и горе наведеном опису. 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</si>
  <si>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</t>
  </si>
  <si>
    <t xml:space="preserve">Ограде на терасама, су од одговарајућих хладно вучених челичних профила у свему према шемама у графичкој документацији и горе наведеном опису. </t>
  </si>
  <si>
    <t>Набавка и уградња заштитне металне ограде рукохвата на бетонској огради</t>
  </si>
  <si>
    <t>Рукохват је кутијасти профил HOP 70/50/3 мм који је на почетку и на крају затворен плочицама 70/50/5 мм, а флаховима 150/50/5 мм везан за плочицу 120/170/5 мм  анкеровану у парапетни зид завртњима.</t>
  </si>
  <si>
    <t>Све елементе заштитити против корозије и бојити бојом за метал два пута у тону 9006 по RALL стандарду .</t>
  </si>
  <si>
    <t>Набавка и уградња, унутрашњих, металних, противпожарних врата на електроорманима, ватроотпорна 90 минута .</t>
  </si>
  <si>
    <t xml:space="preserve">Крило врата је сендвич - челични лим, обострано на потконструкцији, са одговарајућом противпожарном испуном. </t>
  </si>
  <si>
    <t>Опшав штока је такође од челичног лима.</t>
  </si>
  <si>
    <t>Завршна заштита од корозије и финално фарбање белом бојом за метал.</t>
  </si>
  <si>
    <t>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</si>
  <si>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 xml:space="preserve">противпожарни капак </t>
  </si>
  <si>
    <t xml:space="preserve">Произвођач је дужан да дефинише начин уградње радионичким цртжом. </t>
  </si>
  <si>
    <t>Капак треба да поседују сертификат за ватроотпорност издат од стране овлашћеног тела за цео склоп коме припадају.</t>
  </si>
  <si>
    <t xml:space="preserve">Набавка и уградња пп ревизиони капак за излаз у тавански простор атестирана на ватроотпорност од
 60 минута. </t>
  </si>
  <si>
    <t>Kапак је завршно обрађен челичним бојеним лимом и опремљен потребним оковом и механизмом за затварање.</t>
  </si>
  <si>
    <t>отирач</t>
  </si>
  <si>
    <t xml:space="preserve">Набавка и уградња подног отирача. Отирач у улазном ветробрану , од гумених и челичних трака. </t>
  </si>
  <si>
    <t>Отирач у раму од стандардних "L" профила убетонираних у нивоу пода.</t>
  </si>
  <si>
    <t>подизна метална решетка</t>
  </si>
  <si>
    <t>=0,25*754,30</t>
  </si>
  <si>
    <t>=(14,37+107,90)*0,4</t>
  </si>
  <si>
    <t>зидови рампе</t>
  </si>
  <si>
    <t>зидови жардињере</t>
  </si>
  <si>
    <t>укупно Пос 2.9.</t>
  </si>
  <si>
    <t>=0,15*1,30*(5,15+6,54+3,07+4,7)</t>
  </si>
  <si>
    <t>=0,15*1,30*(3,95*2+3,1*2)</t>
  </si>
  <si>
    <t xml:space="preserve"> дп=18 цм, плоча сутерена</t>
  </si>
  <si>
    <t>2.16.1.</t>
  </si>
  <si>
    <t>2.16.2.</t>
  </si>
  <si>
    <t xml:space="preserve"> дп=20 цм, плоча жардињере</t>
  </si>
  <si>
    <t>=0,20*3,95*3,1</t>
  </si>
  <si>
    <t>Набавка материјала, транспорт и израда плоче на тлу, армираним бетоном МБ 30 (С25/30). Плоча је дебљине према графичкој документацији.</t>
  </si>
  <si>
    <t>=0,18*(14,37+107,90)</t>
  </si>
  <si>
    <t>=0,20*0,6*(1,94+6,37+4,9+2,15*2+5,15*2+5,78+1,5*2+1,95+5,77+6,85)</t>
  </si>
  <si>
    <t>=0,10*1,5*(1,94+6,37+4,9+2,15*2+5,15*2+5,78+5,77+6,35)</t>
  </si>
  <si>
    <t>=2,77*0,2*0,2*4*2+0,25*0,20*2,05*2*9</t>
  </si>
  <si>
    <t>=2,77*(0,25*0,6+0,2*0,25+0,25*0,5*3+0,2*0,7)</t>
  </si>
  <si>
    <t>=2*(2,77*(0,25*0,6+0,2*0,25+0,25*0,5*3+0,2*0,7))</t>
  </si>
  <si>
    <t>Набавка и уградња Сика геотекстила 300 г/м2  на бази полипропилена (ПП) са преклопом од 10 цм у сврху заштите хидроизолационе мембране (спољна заштита). Постављање хоризонтално- слободно положено; поставаљање вертикално- тачкасто фиксирано.</t>
  </si>
  <si>
    <t>Пре извођења хидроизолације припремити подлогу механичким путем (водени топ, брусилица или слично) или у наносу новог слоја (репаратурни малтер или слично) у сврху припреме подлоге до жељене равнине.  Подлога не сме имати оштре делове, видљиву арматуру или депресије морају бити заобљене у  маx. радијусу 5 цм .</t>
  </si>
  <si>
    <t xml:space="preserve">Мембране се слободно полажу а спојеви се заварују врелих ваздухом са ширином вара од минимум 3 цм, преклоп минимум 8 цм. </t>
  </si>
  <si>
    <t xml:space="preserve">Хидроизолација се на детаљима линеарно учвршћује за подлогу пластифицираним лимовима, Сика ПВЦ лим.                                                                                               Уградња хоризонтално- слободно положено ; уградња вертикално - помоћу  Сика ПВЦ лимених елемента. </t>
  </si>
  <si>
    <t xml:space="preserve">Саставни део позиције су два слоја геотекстила 300 г/м² на бази полипропилена (ПП) са преклопом од 10 цм у сврху заштите хидроизолационе мембране и за спољну заштиту Хидроизолационе мембране. </t>
  </si>
  <si>
    <t>Постављање хоризонтално- слободно положено; постава вертикално- тачкасо фиксирано.</t>
  </si>
  <si>
    <t>Набавка материјала, транспорт и уградња  хидроизолационе синтетичке мембране на бази PVC,  UV нестабилна , дебљине   д= 1,5 мм, тип SIKAPLAN WP 1100-15HL или одговарајуће</t>
  </si>
  <si>
    <t>1.7.</t>
  </si>
  <si>
    <t xml:space="preserve">Набавка материјала и испуна инсталационог канала песком. </t>
  </si>
  <si>
    <t>Песак мора бити чист без органских примеса.</t>
  </si>
  <si>
    <t>=0,5*1,5*(5,78+5,15+2,15+4,9+6,38+3,0+6,35+5,78)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</si>
  <si>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0,201W/mK.</t>
    </r>
  </si>
  <si>
    <t>подлога у подовима КИН 4, КИН 6, КИН 7</t>
  </si>
  <si>
    <t>=5,16+20,44+4,14+11,12+1,11+19,8+4,05+8,5+1,04+20,17+4,1+1,95+20,95+4,18+7,49+23,28+5,39+4,95+23,96+5,46+0,76+20,01+4,09+8,5+59,42+20,08+2,76</t>
  </si>
  <si>
    <t xml:space="preserve">подлога у поду КИН 2, МКС 2 </t>
  </si>
  <si>
    <t>подлога у подовима КИН 1, КИН 3, E1, E3, МКС1, МКС 3</t>
  </si>
  <si>
    <t>KИН 7, МКС 4, Т 2*</t>
  </si>
  <si>
    <t>=59,42+59,65+59,75*2+59,71</t>
  </si>
  <si>
    <t>=2,77*(8,38+8,7+8,38+8,55+8,61+5,18+8,55+8,79+8,6+8,75+5,13+8,55)</t>
  </si>
  <si>
    <t>=2*2,77*(6,39+20,61+8,49+9,44+24,52+10,25+14,28+13,43+4,45+3,92+19,64+8,47+12,21+7,1+18,01+8,8+15,09+5,48+11,06+19,88+8,52+13,57+4,44+19,22+8,39+12,21+4,24+21,13+8,59+9,5+19,63+8,54+14,95+10,05+23,99+10,0+14,28+13,53+4,45+5,18+5,78+22,09+8,54+11,26+7,62+19,92+9,12)-2*121,58-2*(2,1*1,6*2+2,7*2,4*6+1,6*2,4-3,0*9)</t>
  </si>
  <si>
    <t>=2,77*(6,39+20,61+8,49+9,44+24,52+10,25+14,28+13,43+4,45+3,92+19,64+8,47+12,21+7,1+18,01+8,8+15,09+5,48+11,06+19,88+8,52+13,57+4,44+19,22+8,39+12,21+4,24+21,13+8,59+9,5+19,63+8,54+14,95+10,05+23,99+10,0+14,28+13,53+4,45+5,18+5,78+22,09+8,54+11,26+7,62+19,92+9,12)-121,58-(2,1*1,6*2+2,7*2,4*6+1,6*2,4-3,0*9)</t>
  </si>
  <si>
    <t>=2,61*(6,39+20,61+8,49+9,44+24,52+10,25+14,28+13,43+4,45+3,92+19,64+8,47+12,21+7,1+18,01+8,8+15,09+5,48+11,06+19,88+8,52+13,57+4,44+19,22+8,39+12,21+4,24+21,13+8,59+9,5+19,63+8,54+14,95+10,05+23,99+10,0+14,28+13,53+4,45+5,18+5,78+22,09+8,54+11,26+7,62+19,92+9,12)-122,89-2*(2,1*1,6*2+2,7*2,4*6+1,6*2,4-3,0*9)</t>
  </si>
  <si>
    <t>малтерисање плафона и подгледа степеништа</t>
  </si>
  <si>
    <t>=32,45+64,45+37,68+46,01+44,85+37,78+29,98+44,78+64,66+38,94+35,15+3,23*1,32*2+2,84*1,37</t>
  </si>
  <si>
    <t>=2*(32,45+64,45+37,68+46,01+44,85+37,78+29,98+44,78+64,66+38,94+35,15+3,23*1,32*2+2,84*1,37)</t>
  </si>
  <si>
    <t>=439,52+81,91</t>
  </si>
  <si>
    <t>=2,62+3,64+9,53+15,91</t>
  </si>
  <si>
    <t>д=10 цм, испод плоче на тлу</t>
  </si>
  <si>
    <t>д=20 цм, испод расхладне јаме</t>
  </si>
  <si>
    <t>=1,15*0,85</t>
  </si>
  <si>
    <t>=1,4*(1,15*2+0,85*2)</t>
  </si>
  <si>
    <t>Набавка материјала, транспорт и израда хидроизолације подне плоче и укопаних зидова расхладне јаме (под П ТП) - хидроизолација ТИП 1.</t>
  </si>
  <si>
    <t>=15,7+47,53+0,3*(2,65+3*4,45+9,73+6,82)+1,15*0,85+1,13*(0,85*2+1,15*2)</t>
  </si>
  <si>
    <t xml:space="preserve">хоризонтална и вертикална хидроизолација </t>
  </si>
  <si>
    <t>=2,77*60,94-(1,55*2,0+1,0*2,1*10)</t>
  </si>
  <si>
    <t>КИН 1, КИН 3</t>
  </si>
  <si>
    <t>еркер Е 1, Е2, Е3</t>
  </si>
  <si>
    <t xml:space="preserve">Термоизолација је екструдирани полистирен XPS дебљине 3 цм, поставља се преко армирано бетонске плоче терасе. </t>
  </si>
  <si>
    <t>Обрачун по м¹</t>
  </si>
  <si>
    <t xml:space="preserve">Дилатациона разделница је са неопренским профилом уграђује се помоћу одговарајућег L профила и са трајно еластичном фуген масом обострано. </t>
  </si>
  <si>
    <t>дилатација  типа Migua , боја по избору пројектанта</t>
  </si>
  <si>
    <t>Набавка потребног материјала, транспорт и уградња алуминијумске дилатационе разделнице типа Migua FN 65 или одговарајуће у боји по избору пројектанта.</t>
  </si>
  <si>
    <t>подна, зидна и плафонска дилатација</t>
  </si>
  <si>
    <t xml:space="preserve">Набавка материјала, транспорт и израда опшивке зиданих ограда тераса. </t>
  </si>
  <si>
    <t>=32,45+64,45+37,68+46,01+44,85+37,72+29,98+44,78+64,66+38,94+35,15</t>
  </si>
  <si>
    <t>=2*(32,45+64,45+37,68+46,01+44,85+37,72+29,98+44,78+64,66+38,94+35,15)</t>
  </si>
  <si>
    <t>=439,52+81,91+39,49</t>
  </si>
  <si>
    <t>ознака 1У у кругу</t>
  </si>
  <si>
    <t>једнокрилна пуна врата перфорирана у доњој зони кружним отворима</t>
  </si>
  <si>
    <t>ознака 3a у кругу</t>
  </si>
  <si>
    <t>кровни прозор са ручном спољном тендом</t>
  </si>
  <si>
    <t>)</t>
  </si>
  <si>
    <t>кровни прозор са тендом</t>
  </si>
  <si>
    <t>зидарска мера 78/118 цм</t>
  </si>
  <si>
    <t>излаз на кров</t>
  </si>
  <si>
    <t xml:space="preserve">Набавка, транспорт и уградња излаза на корв са интегрисаном опшивком типа GVT димензија 54x83 </t>
  </si>
  <si>
    <t>Оквир и интегрисана опшивка направљени су од црног полиуретана.</t>
  </si>
  <si>
    <t>Отвара се бочно према напоље и има три позиције за вентилацију</t>
  </si>
  <si>
    <t>ознака 5 у кругу</t>
  </si>
  <si>
    <t>зидарска мера 54/83 цм</t>
  </si>
  <si>
    <t>прагови димензија 80/12/3 цм</t>
  </si>
  <si>
    <t xml:space="preserve">Прозор снабдети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 </t>
  </si>
  <si>
    <t>9.1.3.</t>
  </si>
  <si>
    <t>ознака 2а   у дуплом кругу</t>
  </si>
  <si>
    <t>зидарска мера 180/100цм</t>
  </si>
  <si>
    <t>9.1.4.</t>
  </si>
  <si>
    <t>ознака 2а*   у дуплом кругу</t>
  </si>
  <si>
    <t>9.1.5.</t>
  </si>
  <si>
    <t>ознака 2б   у дуплом кругу</t>
  </si>
  <si>
    <t>зидарска мера 180/150цм</t>
  </si>
  <si>
    <t>9.1.6.</t>
  </si>
  <si>
    <t>ознака 2б*   у дуплом кругу</t>
  </si>
  <si>
    <t>9.1.7.</t>
  </si>
  <si>
    <t>9.1.8.</t>
  </si>
  <si>
    <t>9.1.9.</t>
  </si>
  <si>
    <t>зидарска мера 100/150цм</t>
  </si>
  <si>
    <t>9.1.10.</t>
  </si>
  <si>
    <t>ознака 3а   у дуплом кругу</t>
  </si>
  <si>
    <t>зидарска мера 100/100цм</t>
  </si>
  <si>
    <t>9.1.11.</t>
  </si>
  <si>
    <t>ознака 3а*   у дуплом кругу</t>
  </si>
  <si>
    <t>9.1.12.</t>
  </si>
  <si>
    <t>ознака 5   у дуплом кругу</t>
  </si>
  <si>
    <t>зидарска мера 100/60цм</t>
  </si>
  <si>
    <t>9.1.13.</t>
  </si>
  <si>
    <t>ознака 5*   у дуплом кругу</t>
  </si>
  <si>
    <t>9.1.14.</t>
  </si>
  <si>
    <t>ознака 6   у дуплом кругу</t>
  </si>
  <si>
    <t>зидарска мера 210/160цм</t>
  </si>
  <si>
    <t>9.1.15.</t>
  </si>
  <si>
    <t>ознака 6*   у дуплом кругу</t>
  </si>
  <si>
    <t>9.1.16.</t>
  </si>
  <si>
    <t>ознака 10   у дуплом кругу</t>
  </si>
  <si>
    <t>зидарска мера 100/200цм</t>
  </si>
  <si>
    <t>9.1.17.</t>
  </si>
  <si>
    <t>ознака 10*   у дуплом кругу</t>
  </si>
  <si>
    <t xml:space="preserve">Набавка и уградња фасадне ПВЦ преграде са вратима према шеми отварања. </t>
  </si>
  <si>
    <t>Врата су снабдевена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</t>
  </si>
  <si>
    <t>ознака 1в у дуплом кругу</t>
  </si>
  <si>
    <t>зидарска мера 180+90/240цм</t>
  </si>
  <si>
    <t>ознака 1в* у дуплом кругу</t>
  </si>
  <si>
    <t>зидарска мера 90+180/240цм</t>
  </si>
  <si>
    <t>ознака 9 у дуплом кругу</t>
  </si>
  <si>
    <t>зидарска мера 90/240цм</t>
  </si>
  <si>
    <t>ознака 9* у дуплом кругу</t>
  </si>
  <si>
    <t>9.2.5.</t>
  </si>
  <si>
    <t>ознака 11 у дуплом кругу</t>
  </si>
  <si>
    <t>зидарска мера 160/240цм</t>
  </si>
  <si>
    <t>9.2.6.</t>
  </si>
  <si>
    <t>ознака 12 у дуплом кругу</t>
  </si>
  <si>
    <t>зидарска мера 80/200цм</t>
  </si>
  <si>
    <t>9.2.7.</t>
  </si>
  <si>
    <t>ознака 12* у дуплом кругу</t>
  </si>
  <si>
    <t>9.2.8.</t>
  </si>
  <si>
    <t>ознака 13 у дуплом кругу</t>
  </si>
  <si>
    <t>зидарска мера 160/190цм</t>
  </si>
  <si>
    <t>9.2.9.</t>
  </si>
  <si>
    <t>ознака 15 у дуплом кругу</t>
  </si>
  <si>
    <t>зидарска мера 210/210цм</t>
  </si>
  <si>
    <t>9.2.10.</t>
  </si>
  <si>
    <t>ознака 15* у дуплом кругу</t>
  </si>
  <si>
    <t>9.2.11.</t>
  </si>
  <si>
    <t>ознака 16 у дуплом кругу</t>
  </si>
  <si>
    <t>зидарска мера 100/190цм</t>
  </si>
  <si>
    <t>9.2.12.</t>
  </si>
  <si>
    <t>ознака 16* у дуплом кругу</t>
  </si>
  <si>
    <t>зидарска мера 231/240+27 цм</t>
  </si>
  <si>
    <t>ознака 2А у квадрату</t>
  </si>
  <si>
    <t>ознака 6 у квадрату</t>
  </si>
  <si>
    <t>зидарска мера 160/225 цм</t>
  </si>
  <si>
    <t>ознака 6а у квадрату</t>
  </si>
  <si>
    <t>зидарска мера 160/315 цм</t>
  </si>
  <si>
    <t>ознака 7 у квадрату</t>
  </si>
  <si>
    <t>зидарска мера 155/220 цм</t>
  </si>
  <si>
    <t>ознака 7а у квадрату</t>
  </si>
  <si>
    <t>зидарска мера 155/172 цм</t>
  </si>
  <si>
    <t xml:space="preserve">Предвиђена висина пењања је 300 цм. Пењалице су металне, дводелне са фиксним горњим  и покретним доњим делом. </t>
  </si>
  <si>
    <t>ознака П у квадрату</t>
  </si>
  <si>
    <t>металне пењалице</t>
  </si>
  <si>
    <t>Набавка и уградња пењалица од округлог пуног гвожђа Ø 20мм.</t>
  </si>
  <si>
    <t>Пењалице се уграђују приликом извођења бетонских радова.</t>
  </si>
  <si>
    <t>Пењалице су дужине 30 цм, дужина газишта је 15 цм, а дубина анкеровања у зид је 12 цм. Висинска разлика између пењалица је 30 цм.</t>
  </si>
  <si>
    <t>После скидања рђе и одмашћивања све се премазује основном заштитном бојом, а затим два пута бојом за метал у боји по избору пројектанта.</t>
  </si>
  <si>
    <t>ознака П1 у квадрату</t>
  </si>
  <si>
    <t>пењалице</t>
  </si>
  <si>
    <t>димензија 30/15 цм, са три газишта</t>
  </si>
  <si>
    <t>ознака П2 у квадрату</t>
  </si>
  <si>
    <t>димензија 30/15 цм, са два газишта</t>
  </si>
  <si>
    <t>Набавка и уградња фасадне браварије,  врата са жалузином</t>
  </si>
  <si>
    <t>Жалузине су смештене у доњој зони крила врата. Са унутрашње стране на делу жалузина фиксирати заштитну мрежицу.</t>
  </si>
  <si>
    <t>Заштитити против корозије антикорозивним премазом и бојити два пута емајл лаком у боји према шемама</t>
  </si>
  <si>
    <t>метална једнокрилна врата са жалузином</t>
  </si>
  <si>
    <t>метална двокрилна врата са жалузином</t>
  </si>
  <si>
    <t>зидарска мера 150/240цм</t>
  </si>
  <si>
    <t>евакуациона врата са жалузином</t>
  </si>
  <si>
    <t>зидарска мера 100/140цм</t>
  </si>
  <si>
    <t>унутрашња ограда подеста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</si>
  <si>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</t>
  </si>
  <si>
    <t>ограда висине 80 цм,                                                          ознака СО3 у дуплом квадрату</t>
  </si>
  <si>
    <t>=1,4*4</t>
  </si>
  <si>
    <t>ограда висине 80 цм,                                                          ознака СО4 у дуплом квадрату</t>
  </si>
  <si>
    <t>=1,3*4</t>
  </si>
  <si>
    <t>ограда висине 60 цм,                                                          ознака СО4* у дуплом квадрату</t>
  </si>
  <si>
    <t>=1,3*1</t>
  </si>
  <si>
    <t>спољне заштитне ограде</t>
  </si>
  <si>
    <t xml:space="preserve">Заштитне ограде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</si>
  <si>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100 цм,                                                          ознака ЗО у дуплом квадрату</t>
  </si>
  <si>
    <t>=1,74*1</t>
  </si>
  <si>
    <t>ограда висине 85 цм,                                                          ознака ЗО1 у дуплом квадрату</t>
  </si>
  <si>
    <t>=1,74*8</t>
  </si>
  <si>
    <t>ограда висине 85 цм,                                                          ознака ЗО2 у дуплом квадрату</t>
  </si>
  <si>
    <t>=0,94*8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</si>
  <si>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 </t>
  </si>
  <si>
    <t>ограда висине 105 цм,                                                          ознака О1а у дуплом квадрату</t>
  </si>
  <si>
    <t>=(1,3*2+2,9)*17</t>
  </si>
  <si>
    <t>ограда висине 105 цм,                                                          ознака О1б у дуплом квадрату</t>
  </si>
  <si>
    <t>=(0,37*2+2,9)*3</t>
  </si>
  <si>
    <t>ограда висине 105 цм,                                                          ознака О4 у дуплом квадрату</t>
  </si>
  <si>
    <t>=1,3*16</t>
  </si>
  <si>
    <t>ограда висине 105 цм,                                                          ознака О5 у дуплом квадрату</t>
  </si>
  <si>
    <t>=1,03*8</t>
  </si>
  <si>
    <t>ограда висине 105 цм,                                                          ознака О5а у дуплом квадрату</t>
  </si>
  <si>
    <t>=1,16*1</t>
  </si>
  <si>
    <t>ограда висине 105 цм,                                                          ознака О9 у дуплом квадрату</t>
  </si>
  <si>
    <t>=2,73*10</t>
  </si>
  <si>
    <t>ограда висине 140 цм,                                                          ознака О14 у дуплом квадрату</t>
  </si>
  <si>
    <t>=1,2*4</t>
  </si>
  <si>
    <t>ограда висине 105 цм,                                                          ознака О15 у дуплом квадрату</t>
  </si>
  <si>
    <t>=(1,83+1,05)*4</t>
  </si>
  <si>
    <t>ограда висине 105 цм,                                                          ознака О15a у дуплом квадрату</t>
  </si>
  <si>
    <t>=(1,91+1,05)*5</t>
  </si>
  <si>
    <t>ограда висине 105 цм,                                                          ознака О16 у дуплом квадрату</t>
  </si>
  <si>
    <t>=1,63*4</t>
  </si>
  <si>
    <t>ограда висине 105 цм,                                                          ознака О17 у дуплом квадрату</t>
  </si>
  <si>
    <t>=1,56*1</t>
  </si>
  <si>
    <t>ограда висине 105 цм,                                                          ознака О18 у дуплом квадрату</t>
  </si>
  <si>
    <t>=0,37*1</t>
  </si>
  <si>
    <t>ограда висине 105 цм,                                                          ознака О19 у дуплом квадрату</t>
  </si>
  <si>
    <t>=(0,37+2,9+1,3)*1</t>
  </si>
  <si>
    <t>ограда висине 105 цм,                                                          ознака О20 у дуплом квадрату</t>
  </si>
  <si>
    <t>=(1,76+1,05)*1</t>
  </si>
  <si>
    <t>тродимензионална маска спољних клима</t>
  </si>
  <si>
    <t>Набавка и уградња маске спољних клима која се састоји од: 1- ограде (рукохват, транспарентна испуна и U профил висине 35цм) и 2 - носача климе.</t>
  </si>
  <si>
    <t>Ограде су изграђене од хладно вучених челичних профила - црна браварија</t>
  </si>
  <si>
    <t xml:space="preserve">Анкеровање ограде се врши у конструкцију зидова, греда и плоча преко анкер плочица и анкер типлова који се морају монтирати пре постављања фасада и подова. Носачи климе се фиксирају за U профил варом и за ободну бетонску греду. </t>
  </si>
  <si>
    <t>ознака ОК1 у дуплом квадрату</t>
  </si>
  <si>
    <t>димензије 50+135/140цм</t>
  </si>
  <si>
    <t>ознака ОК2 у дуплом квадрату</t>
  </si>
  <si>
    <t>димензије 50+110/140цм</t>
  </si>
  <si>
    <t>ознака ОК3 у дуплом квадрату</t>
  </si>
  <si>
    <t>димензије 50+85/140цм</t>
  </si>
  <si>
    <t>ознака КК у дуплом квадрату</t>
  </si>
  <si>
    <t>димензије 40+110+40/85цм</t>
  </si>
  <si>
    <t>маска спољних клима у баџама поткровља</t>
  </si>
  <si>
    <t>Набавка и уградња маске за спољне јединице клима уређаја које се налазе у баџама поткровља.</t>
  </si>
  <si>
    <t>Састоји се од перфорираног лима d=0,6мм у раму од L профила.
Перфорирани лим је по обради и боји у потпуности идентичан обради кровног покривача. Проценат перфорације је мин. 30%.</t>
  </si>
  <si>
    <t>Сви конструктивни елементи су израђени од хладно вучених челичних профила - црна браварија</t>
  </si>
  <si>
    <t>Анкеровање маске се врши на конструкцију доње и горње плоче преко анкер плочица и анкер типлова који се морају монтирати пре постављања фасада и кровног покривача.</t>
  </si>
  <si>
    <t>ознака КБ у дуплом квадрату</t>
  </si>
  <si>
    <t>маска за спољну климу</t>
  </si>
  <si>
    <t>димензије 39+84/72цм</t>
  </si>
  <si>
    <t>рукохват на бетонској огради</t>
  </si>
  <si>
    <t>ограда висине 105цм, ознака ОР у дуплом квадрату</t>
  </si>
  <si>
    <t>ограда висине 105цм, ознака ОР1 у дуплом квадрату</t>
  </si>
  <si>
    <t>=0,78*1</t>
  </si>
  <si>
    <t>ограда висине 105цм, ознака ОР2 у дуплом квадрату</t>
  </si>
  <si>
    <t>=0,53*4</t>
  </si>
  <si>
    <t>ограда висине 110цм, ознака СО у дуплом квадрату</t>
  </si>
  <si>
    <t>=2,87*4*2+0,1*2*4+1,48</t>
  </si>
  <si>
    <t>метална ограда на рампи</t>
  </si>
  <si>
    <t>Набавка и уградња металне ограде на рампи. Ограде су израђене од  челичних елемената.</t>
  </si>
  <si>
    <t>Састоји се из вертикалних и хоризонталних профила HOP 50/40/4. Испуна ограде су  два хоризонтална профила HOP 40/20/4. Сви елементи су међусобно заварени. Рукохвати, постављени на 70цм и 90цм од пода рампе, су од челичних цеви ∅40/2.5мм,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</si>
  <si>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анкер плочица и бетонске конструкције је остварена преко анкер завртњева М12.</t>
  </si>
  <si>
    <t>Ограду темељно очистити и заштити против корозије антикорозивним премазом и бојити емајл лаком два пута у тону 7015 по RAL стандарду.</t>
  </si>
  <si>
    <t>ограда висине 90цм, ознака РА у дуплом квадрату</t>
  </si>
  <si>
    <t>=12,7*1</t>
  </si>
  <si>
    <t>зидарска мера 60/70 цм</t>
  </si>
  <si>
    <t>ознака К у осмоуглу</t>
  </si>
  <si>
    <t>ознака Б у дуплом квадрату</t>
  </si>
  <si>
    <t>зидарска мера 100/50 цм</t>
  </si>
  <si>
    <t>ознака РП у дуплом квадрату</t>
  </si>
  <si>
    <t>зидарска мера 100/100 цм</t>
  </si>
  <si>
    <t>10.16.</t>
  </si>
  <si>
    <t>жалузина</t>
  </si>
  <si>
    <t>Набавка, транспорт и уградња вентилационе решетке са хоризонтално распоређеним непокретним ламелама од пластифицираног челичног лима.</t>
  </si>
  <si>
    <t>Конструкција од кутијастог челичног профила 40/40мм.
Са унутрашње стране на конструкцију фиксирати заштитну мрежицу.</t>
  </si>
  <si>
    <t>Заштиту против корозије и бојити масном  бојом  два пута у белој боји.</t>
  </si>
  <si>
    <t>ознака Ж у дуплом квадрату</t>
  </si>
  <si>
    <t>жалузина за вентилацију лифтовског језгра и таванског простора</t>
  </si>
  <si>
    <t>зидарска мера 40/30 цм</t>
  </si>
  <si>
    <t>ознака Ж1 у дуплом квадрату</t>
  </si>
  <si>
    <t>жалузина за вентилацију галерије за инсталације</t>
  </si>
  <si>
    <t>зидарска мера 100/60 цм</t>
  </si>
  <si>
    <t>зидарска мера 192,5/240 цм</t>
  </si>
  <si>
    <t>5.7.</t>
  </si>
  <si>
    <t>=2,20*(4,54*2+1,95)</t>
  </si>
  <si>
    <t>вертикале 5/5 цм</t>
  </si>
  <si>
    <t>ПВЦ вертикале се постављају унутар термоизолације фасадних зидова, на њену спољашњу ивицу и обрађена је завршним слојем фасаде.</t>
  </si>
  <si>
    <t>Набавка и уградња ПВЦ олучних вертикала за одводњавање конденза из спољашњих клима уређаја.</t>
  </si>
  <si>
    <t xml:space="preserve">једнокрилна ПП врата на електроормару </t>
  </si>
  <si>
    <t>Предвидети механизам за фиксирање у затвореном  положају.</t>
  </si>
  <si>
    <t>=13,45+15,3+15,8+16,9+16,5+17,25+16,0*2+15,1*2+15,5</t>
  </si>
  <si>
    <t>камена вуна д=3 цм у плафонима тераса</t>
  </si>
  <si>
    <t>бојење инсталационих канала у  крову и изнад крова</t>
  </si>
  <si>
    <t xml:space="preserve">Набавка, транспорт и уградња VELUX кровног прозора типа GZL или одговарајуће, димензија 78x118 са појединачном-комбинованом дуо алуминијумском опшивком EDS-EKS, која садржи термо и хидроизолациони сет са дренажним каналом. </t>
  </si>
  <si>
    <t xml:space="preserve">Измећу крила и штока поставља се дихтунг профил од неопренске гуме. Коефицијент пролаза топлоте w≤1.6W/m²K.
</t>
  </si>
  <si>
    <t>Крило врата: рам је MDF-а дебљине 37 мм, испуна картонско саће, облога  од MDF дебљине д=8 мм Еgger или одговарајућа, кантовано ABS траком.  Кантовање је полиуретанским лепком.</t>
  </si>
  <si>
    <t xml:space="preserve">Шток од MDF-a д=35 мм, обложен СРL ламинатом Еgger или одговарајуће.
</t>
  </si>
  <si>
    <t>Первази су од MDF д=14 мм, обложени ЦПЛ ламинатом Еgger или одговарајуће.</t>
  </si>
  <si>
    <t xml:space="preserve">Крило врата: рам је MDF-а дебљине д=37 мм, а испуна картонско саће. Крило врата  од Еgger MDF дебљине д=8 мм. </t>
  </si>
  <si>
    <t>Шток од MDF-a д=35 мм обложен СРL ламинатом Еgger или одговарајући.
Первајзи су од MDF д=14 мм, обложени СРL ламинатом Еgger или одговарајући</t>
  </si>
  <si>
    <t>Крило врата: рам је MDF-а дебљине д=37 мм,  испуна картонско саће, облога  од MDF дебљине д=8 мм Еgger или одговарајуће, кантовано ABS  траком.  Кантовање је полиуретанским лепком.</t>
  </si>
  <si>
    <t>Шток од MDF-a 35 д=мм обложен СРL ламинатом Еgger или одговарајући.
Первајзи су од MDF д=14 мм, обложени СРL ламинатом Еgger или одговарајући</t>
  </si>
  <si>
    <t>Крило врата: рам је MDF-а дебљине д=37 мм, испуна картонско саће, облога  од MDF дебљине д=8 мм Еgger или одговарајуће, кантовано ABS  траком.  Кантовање је полиуретанским лепком.</t>
  </si>
  <si>
    <t>Кровни прозор је направљен од нордијске боровине са петоструком ламинацијом и стаклом 4+16+4 мм, са унутрашњим флотираним и спољашњим каљеним стаклом и испуном од аргона. Премазан је једним слојем акрилног лака на бази воде.</t>
  </si>
  <si>
    <t>Прозор је са средишњим вешањем и поцинкованом ручицом за отварање на горњој страни крила, отварање и затварање прозора помоћу телескопске шипке ZCT са адаптером ZOZ 95 у којој се налази интегрисани вентилациони отвор са филтером. Коефицијент пролаза топлоте Uw=1.3 W/m²K.</t>
  </si>
  <si>
    <t>Обрачун по комаду уграђених позиција</t>
  </si>
  <si>
    <t>Прозор је опремљен ручном спољном тендом типа MHL за заштиту од сунчевих зрака смањујући загревање стакла и унутрашњег простора.</t>
  </si>
  <si>
    <t>Тенда је направљена од високо издржљиве карбонске мреже.</t>
  </si>
  <si>
    <t>Обрачун по комаду уграђеног прозора у свему према опису.</t>
  </si>
  <si>
    <t>двокрилни прозор снабдевен еслингер ролетном, отварање у свему према шеми</t>
  </si>
  <si>
    <t>двокрилни прозор снабдевен венецијанер ролетном, отварање у свему према шеми</t>
  </si>
  <si>
    <t>једнокрилни прозор снабдевен еслингер ролетном, отварање у свему према шеми</t>
  </si>
  <si>
    <t>ознака 3б   у дуплом кругу</t>
  </si>
  <si>
    <t>једнокрилни прозор снабдевен венецијанер ролетном, отварање у свему према шеми</t>
  </si>
  <si>
    <t>једнокрилни прозор, отварање у свему према шеми</t>
  </si>
  <si>
    <t>фасадна преграда са балконским  вратима снабдевена еслингер ролетном, отварање према шеми</t>
  </si>
  <si>
    <t>једнокрилна балконска  врата снабдевена еслингер ролетном,  отварање према шеми</t>
  </si>
  <si>
    <t>двокрилна балконска  врата снабдевена еслингер ролетном, отварање према шеми</t>
  </si>
  <si>
    <t>једнокрилна балконска  врата снабдевена венецијанер ролетном, отварање према шеми</t>
  </si>
  <si>
    <t>двокрилна балконска врата снабдевена венецијанер ролетном, отварање према шеми</t>
  </si>
  <si>
    <t>једнокрилна балконска врата снабдевена венецијанер ролетном, отварање према шеми</t>
  </si>
  <si>
    <t>10.5.1.</t>
  </si>
  <si>
    <t>10.5.2.</t>
  </si>
  <si>
    <t>10.9.1.</t>
  </si>
  <si>
    <t>10.9.2.</t>
  </si>
  <si>
    <t>10.9.3.</t>
  </si>
  <si>
    <t>10.9.4.</t>
  </si>
  <si>
    <t>10.17.</t>
  </si>
  <si>
    <t>10.18.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</si>
  <si>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</si>
  <si>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2.2.3.</t>
  </si>
  <si>
    <t xml:space="preserve">д=22-35 цм,  у паду </t>
  </si>
  <si>
    <t>=1,625*(5,77+14,6+28,8)</t>
  </si>
  <si>
    <t>=0,18*2,9*1,4</t>
  </si>
  <si>
    <t>=1,80*(754,30-0,50*(15,7+19,07+9,34+21,0+25,5+10,0+8,45+7,02+23,5+21,0+9,6+15,0+12,48+19,5+21,0+13,44))</t>
  </si>
  <si>
    <t>широки ископ се ради до коте горње ивице темеља, у просечној дубини од 180 цм, ископ за темељне траке и темељне плоче се ради од коте широког ископа, до коте полагања неармираног бетона испод темеља објекта у дубини од 50 цм</t>
  </si>
  <si>
    <t>=1,2*(1131,3-740,43)</t>
  </si>
  <si>
    <t>=(0,2+0,2+0,32)*(6,5+7,1)+(0,26+0,18+0,22)*(3,43*3+7,53)</t>
  </si>
  <si>
    <t xml:space="preserve">- Хидроизолацију извести у свему према упутству произвођача који је у обавези да за примењене   материјале достави атесте и гаранцију трајности. </t>
  </si>
  <si>
    <t>- Извођач радова је у обавези да достави на увид детаље хидроизолације и детаље продора кроз армирано бетонске конструктивне елементе.</t>
  </si>
  <si>
    <t>- Гаранција за уграђене материјале и изведене радове треба да износи минимум 10 година.</t>
  </si>
  <si>
    <t>=(0,70*2+0,7*2+1,5)*(5,78+5,15+2,15+4,9+6,38+3,0+6,35+5,78)</t>
  </si>
  <si>
    <t>облагање косог плафона</t>
  </si>
  <si>
    <t>7.3.1.</t>
  </si>
  <si>
    <t>7.3.2.</t>
  </si>
  <si>
    <t>Набавка материјала, транспорт и израда опшивке венца у оси. Опшивка од челичног поцинкованог пластифицираног лима дебљине д=0,6мм.</t>
  </si>
  <si>
    <t>=8,37+7,02+3,43*3+7,55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</si>
  <si>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</si>
  <si>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</si>
  <si>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</si>
  <si>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=10+11*4</t>
  </si>
  <si>
    <t>4.10.2.</t>
  </si>
  <si>
    <t>обзиђивање инсталационих канала (зид СЗ5, у ходнику објекта)</t>
  </si>
  <si>
    <t>4.10.1.</t>
  </si>
  <si>
    <t>зидање зидова у баџама - терасе</t>
  </si>
  <si>
    <t>=2,77*(0,72*2+0,39+0,38)*4</t>
  </si>
  <si>
    <t>парапети тераса,  приземље - поткровље</t>
  </si>
  <si>
    <t>=1,20*(3,0*2+2,8*6)</t>
  </si>
  <si>
    <t>=2,67*(11,06+19,88+8,52+13,57+4,44+19,22+8,39+12,21+4,24+20,73+8,59+5,78+22,08+8,54+11,26+10,05+23,99+10,0+14,28+13,53+4,45+9,5+19,63+8,54+14,75+7,62+19,92+9,42+6,39+20,61+8,49+9,44+24,52+10,25+14,28+13,43+4,45+3,92+19,64+8,47+12,21)-100,27-(2,1*1,6*2+2,7*2,4*5+1,6*2,4-3,0*8)</t>
  </si>
  <si>
    <t>=2,67*(0,61+0,38+0,60)+2,4*80,11-(1,55*2,0-3,0)</t>
  </si>
  <si>
    <t>=2,67*(11,06+19,88+8,52+13,57+4,44+19,22+8,39+12,21+4,24+20,73+8,59+5,78+22,08+8,54+11,26+10,05+23,99+10,0+14,28+13,53+4,45+9,5+19,63+8,54+14,75+7,62+19,92+9,42+6,39+20,61+8,49+9,44+24,52+10,25+14,28+13,43+4,45+3,92+19,64+8,47+12,21+7,1+18,01+8,80+15,09+5,48)-121,58-(2,1*1,6*2+2,7*2,4*6+1,6*2,4-3,0*9)</t>
  </si>
  <si>
    <t>=2,67*(0,61+0,38+0,60+13,16)+2,4*82,31-(1,55*2,0+1,60*2,25-3,0*2)</t>
  </si>
  <si>
    <t>=2*2,67*(11,06+19,88+8,52+13,57+4,44+19,22+8,39+12,21+4,24+20,73+8,59+5,78+22,08+8,54+11,26+10,05+23,99+10,0+14,28+13,53+4,45+9,5+19,63+8,54+14,75+7,62+19,92+9,42+6,39+20,61+8,49+9,44+24,52+10,25+14,28+13,43+4,45+3,92+19,64+8,47+12,21+7,1+18,01+8,80+15,09+5,48)-245,78-2*(2,1*1,6*2+2,7*2,4*6+1,6*2,4-3,0*9)</t>
  </si>
  <si>
    <t>=2*(2,67*(0,61+0,38+0,60+13,16)+2,4*82,31-(1,55*2,0+1,60*2,25-3,0*2))</t>
  </si>
  <si>
    <t>=2,51*(11,06+19,88+8,52+13,57+4,44+19,22+8,39+12,21+4,24+20,73+8,59+5,78+22,08+8,54+11,26+10,05+23,99+10,0+14,28+13,53+4,45+9,5+19,63+8,54+14,75+7,62+19,92+9,42+6,39+20,61+8,49+9,44+24,52+10,25+14,28+13,43+4,45+3,92+19,64+8,47+12,21+7,1+18,01+8,80+15,09+5,48)-122,892*(2,1*1,6*2+2,7*2,4*6+1,6*2,4-3,0*9)</t>
  </si>
  <si>
    <t>=2,67*(0,61+0,38+0,60+13,14)+2,4*82,31-(1,55*2,0+1,60*2,25-3,0*2)</t>
  </si>
  <si>
    <t>8.8.</t>
  </si>
  <si>
    <t>8.8.1.</t>
  </si>
  <si>
    <t>8.8.2.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</si>
  <si>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</si>
  <si>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</si>
  <si>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 xml:space="preserve">Дебљина даске је 40 мм, а ширина 300 мм. </t>
  </si>
  <si>
    <t xml:space="preserve">Све ивице су обрађене и заобљене. </t>
  </si>
  <si>
    <t>Веже се за парапетни зид металним анкерима невидљиво.</t>
  </si>
  <si>
    <t>Штити се од инсеката и влаге безбојним премазима без шкодљивих супстанци, (лак: Classic 5 слојева UV осушен)</t>
  </si>
  <si>
    <t>Обрачун по м¹ уграђених и финално обрађене даске.</t>
  </si>
  <si>
    <t>=2,75+1,78+2,88+1,73+2,15</t>
  </si>
  <si>
    <t>=2,75+1,78+2,88+1,73+2,15+2,0</t>
  </si>
  <si>
    <t>=2*(2,75+1,78+2,88+1,73+2,15+2,0)</t>
  </si>
  <si>
    <t>укупно Пос 8.7.</t>
  </si>
  <si>
    <t>Набавка материјала, транспорт и зидање зидова и обзиђивање, блоковима поробетона (типа Итонг или одговарајуће).</t>
  </si>
  <si>
    <t>еркери</t>
  </si>
  <si>
    <t>Набавка материјала, транспорт и уградња неармираног бетона МБ 20, дебљине према пројекту.</t>
  </si>
  <si>
    <t>Уградњу вршити у свему према, упутствима, технологији и спецификацији произвођача.</t>
  </si>
  <si>
    <t>сутерен - зидови</t>
  </si>
  <si>
    <t>=2,5*(4,75*16+2,67+3,0+4,9+2,15+5,15+5,75+0,85*2+0,62*2+0,2*7)</t>
  </si>
  <si>
    <t>=(0,45+0,80)/2*3,1+0,45*1,52+0,8*1,52</t>
  </si>
  <si>
    <t>4.17.1.</t>
  </si>
  <si>
    <t>4.17.2.</t>
  </si>
  <si>
    <t>укупно Пос 4.17.1.</t>
  </si>
  <si>
    <t>4.20.</t>
  </si>
  <si>
    <t>укупно Пос 4.20.</t>
  </si>
  <si>
    <t xml:space="preserve">Набавка материјала, транспорт и израда цементне кошуљице размере 1:3, која се лије као завршни под. </t>
  </si>
  <si>
    <t>Кошуљицу глатко испердашити иуглачати д о црног сјаја.</t>
  </si>
  <si>
    <t>цементна кошуљица  д= 5,0 цм</t>
  </si>
  <si>
    <t>под са ознаком ПТО - сутерен</t>
  </si>
  <si>
    <t>=26,22+3,64+9,53</t>
  </si>
  <si>
    <t>укупно Пос 4.6.1.</t>
  </si>
  <si>
    <t>укупно Пос 7.4.</t>
  </si>
  <si>
    <t>6. Мере узети на лицу места, отварање према приказу у основама.</t>
  </si>
  <si>
    <t>7. Извођачке детаље доставити пројектанту на сагласност које              усваја Пројектант, уз сагласност Инвеститора.</t>
  </si>
  <si>
    <t>8.Обавеза извођача  је да уради прототип одабранаог прозора.</t>
  </si>
  <si>
    <t>10.3.3.</t>
  </si>
  <si>
    <t>10.3.4.</t>
  </si>
  <si>
    <t>Облагање извести у тракама међусобно спојеним дуплим стојећим превојем у правцу пада крова и дуплим лежећим у хоризонталном правцу.</t>
  </si>
  <si>
    <t>Облагање зидова извести са свим фазонским елементима за опшивање за овакву врсту радова и то је саставни део позиције.</t>
  </si>
  <si>
    <t>11.5.1.</t>
  </si>
  <si>
    <t>11.5.2.</t>
  </si>
  <si>
    <t>11.15.</t>
  </si>
  <si>
    <t>укупно Пос 11.14.</t>
  </si>
  <si>
    <t>11.16.</t>
  </si>
  <si>
    <t>Набавка материјала, транспорт и опшивање крова ОСБ плочама дебљине д=18мм. Плоче се фиксирају за рогове.</t>
  </si>
  <si>
    <t xml:space="preserve">Набавка материјала, транспорт и израда подлоге за олук ОСБ плочама дебљине д=18 мм. </t>
  </si>
  <si>
    <t xml:space="preserve">Ревизиони отвор мора бити отпоран на ватру 60 минута, са атестом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</si>
  <si>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 xml:space="preserve">Набавка материјала, израда, транспорт и монтажа самплеха од челичног поцинкованог пластифицираног лима дебљине д=0,6 мм. </t>
  </si>
  <si>
    <t xml:space="preserve">Делове олука спајати нитнама Нитне су у боји олука.  </t>
  </si>
  <si>
    <t>Набавка материјала, транспорт и уградња храстових прагова код врата на улазу у станове и у санитарне чворове.</t>
  </si>
  <si>
    <t>Набавка материјала, транспорт и израда хидроизолације санитарних чворова и тераса- хидроизолација ТИП 2.</t>
  </si>
  <si>
    <t>укупно Пос 6.3.2..</t>
  </si>
  <si>
    <t>6.4.3.</t>
  </si>
  <si>
    <t>6.4.4.</t>
  </si>
  <si>
    <t>укупно Пос 6.4.3.</t>
  </si>
  <si>
    <t>6.4.5.</t>
  </si>
  <si>
    <t>укупно Пос 6.4.5.</t>
  </si>
  <si>
    <t>укупно Пос 6.8.</t>
  </si>
  <si>
    <t>укупно Пос 6.10.</t>
  </si>
  <si>
    <t>укупно Пос 6.11.1.</t>
  </si>
  <si>
    <t>укупно Пос 6.11.2.</t>
  </si>
  <si>
    <t>укупно Пос 6.19.</t>
  </si>
  <si>
    <t xml:space="preserve">Набавка материјала, транспорт и израда опшивке венца на коти +2,95. </t>
  </si>
  <si>
    <t>=8,62*1,4*2</t>
  </si>
  <si>
    <t>10.6.1.</t>
  </si>
  <si>
    <t>10.6.2.</t>
  </si>
  <si>
    <t>10.6.3.</t>
  </si>
  <si>
    <t>10.9.5.</t>
  </si>
  <si>
    <t>10.9.6.</t>
  </si>
  <si>
    <t>10.9.7.</t>
  </si>
  <si>
    <t>10.9.8.</t>
  </si>
  <si>
    <t>10.9.9.</t>
  </si>
  <si>
    <t>10.9.10.</t>
  </si>
  <si>
    <t>10.9.11.</t>
  </si>
  <si>
    <t>10.9.12.</t>
  </si>
  <si>
    <t>10.9.13.</t>
  </si>
  <si>
    <t>10.9.14.</t>
  </si>
  <si>
    <t>10.10.1.</t>
  </si>
  <si>
    <t>10.10.2.</t>
  </si>
  <si>
    <t>10.10.3.</t>
  </si>
  <si>
    <t>10.10.4.</t>
  </si>
  <si>
    <t>10.19.</t>
  </si>
  <si>
    <t>11.17.</t>
  </si>
  <si>
    <t>зидови степеништа</t>
  </si>
  <si>
    <t>=0,9*1,9/2*2*2</t>
  </si>
  <si>
    <t>улазни потрал</t>
  </si>
  <si>
    <t>=(0,15*2+0,55*2)*8,61+(0,4*2+0,15*2)*3,44</t>
  </si>
  <si>
    <t>улазни портал</t>
  </si>
  <si>
    <t>=(0,15*2+0,55*2)*8,67+(0,4*2+0,15*2)*3,44</t>
  </si>
  <si>
    <t>=0,30*((1,4*2+2,7)*5+1,1+1,99+1,03+2,73*2+1,03+1,98)+2,72*((0,3*2+0,8*2)*2+1,23+1,35+0,35)+(3,0*1,2+0,15*1,2*2+0,15*3,0*2)*4</t>
  </si>
  <si>
    <t>=3*0,30*((1,4*2+2,7)*6+1,1+1,99+1,03+2,73*2+1,03+1,98)+3*2,72*((0,3*2+0,8*2)*2+1,23+1,35+0,35)+(3,0*1,2+0,15*1,2*2+0,15*3,0*2)*3</t>
  </si>
  <si>
    <t>=0,30*((1,4*2+2,7)*6+1,1+1,99+1,03+2,73*2+1,03+1,98)+2,72*((0,3*2+0,8*2)*2+1,23+1,35+0,35)+(3,0*1,2+0,15*1,2*2+0,15*3,0*2)</t>
  </si>
  <si>
    <t>Набавка материјала, транспорт и облагање зидова поткровља поцинкованим, пластифицираним челичним лимом дебљине д=0,6 мм, преко подлоге од ОСБ плоча (посебно обрачунато).</t>
  </si>
  <si>
    <t>Набавка материјала, израда и уградња надстрешнице над улазом у објекат.</t>
  </si>
  <si>
    <t>Конструкција надстрешница је израђена од челичних ХОП профила димензија 50/100/4 мм, који се постављају на осовинском размаку од 90 до 100 цм (према графичкој документацији).</t>
  </si>
  <si>
    <t>Профили се у конструкцију анкерују преко анкер плочица, које се постављају пре израде термоизолације и завршног фасадног слоја.</t>
  </si>
  <si>
    <t>Монтажа челичне конструкције се мора извести у свему према техничкој документацији и важећим прописима за ову врсту радова.</t>
  </si>
  <si>
    <t>Антикорозивну заштиту урадити у свему према "Правилнику о заштити од корозије". Комплетну челичну конструкцију заштитити адекватним премазима .</t>
  </si>
  <si>
    <t>У цену улазе и сва спојна средства, завртњи, лимови и сл.</t>
  </si>
  <si>
    <t>Надстрешницу покрити двослојним поликарбонатним плочама дебљине д=10 мм, преко сопствене потконструкције. Ивице затворити перфорираним тракама.</t>
  </si>
  <si>
    <t>Радити у свему према спецификацији произвођача поликарбонатних плоча..</t>
  </si>
  <si>
    <t>Обрачун по м² израђене, уграђене и финално обрађене надстрешнице .</t>
  </si>
  <si>
    <t>Набавка материјала и уградња ПВЦ лулица за одвод воде из инсталационог канала испод кухиња и купатила.</t>
  </si>
  <si>
    <t>ПВЦ лулице Ø50 се варе за хидроизолациону мембрану канала.</t>
  </si>
  <si>
    <t>Обрачун по комаду лулице.</t>
  </si>
  <si>
    <t>Радити у свему према спецификацији произвођача лулица и хидроизолације.</t>
  </si>
  <si>
    <t>16.9.</t>
  </si>
  <si>
    <t>укупно Пос 16.9.</t>
  </si>
  <si>
    <t>Набавка материјала и заштита бетонских површина. Извршити заштиту заштитним премазом у боји - Сикагард 680 С Бетонколор.</t>
  </si>
  <si>
    <t>ПОНУЂАЧ</t>
  </si>
  <si>
    <t>Назив и седиште фирме:</t>
  </si>
  <si>
    <t>М.П</t>
  </si>
  <si>
    <t>Одговорно лице:</t>
  </si>
  <si>
    <t xml:space="preserve">ПРЕДМЕР РАДОВА </t>
  </si>
  <si>
    <t>Београд, _________ 2018.</t>
  </si>
  <si>
    <t>=5*8,4</t>
  </si>
  <si>
    <t>противпожарна врата</t>
  </si>
  <si>
    <t>10.20.</t>
  </si>
  <si>
    <t xml:space="preserve">Све мере узети на лицу места. </t>
  </si>
  <si>
    <t>ознака 5 ПП у осмоуглу</t>
  </si>
  <si>
    <t>Набавка и уградња противпожарних металних врата у сутерену.</t>
  </si>
  <si>
    <t xml:space="preserve">Опшав штока је такође од челичног лима. Завршна обрада је минизирање и и финално фарбање. </t>
  </si>
  <si>
    <t>Врата снабдевена стандардним оковом домаће производње, са системом за аутоматско затварање - челичном опругом, брава са цилиндром са три кључа.</t>
  </si>
  <si>
    <t>Крило врата предвиђено је као сендвич челични лим обострано на потконструкцији, са одговарајућом противпожарном испуном.</t>
  </si>
  <si>
    <t>Произвођач је дужан да дефинише начин уградње радионичким цртежом и да достави атест за ватроотпорност према СРПС-У У.Ј1.160.</t>
  </si>
  <si>
    <t>зидарска мера 90/210 цм</t>
  </si>
  <si>
    <t>једнокрилна противпожарна вратa отпорна на пожар 60 минута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</si>
</sst>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name val="Calibri"/>
      <family val="2"/>
    </font>
    <font>
      <sz val="11"/>
      <name val="Calibri"/>
      <family val="2"/>
    </font>
    <font>
      <sz val="10"/>
      <color theme="1"/>
      <name val="Arial"/>
      <family val="2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theme="1" tint="0.34998626667073579"/>
      </bottom>
      <diagonal/>
    </border>
    <border>
      <left/>
      <right style="medium">
        <color auto="1"/>
      </right>
      <top/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/>
      <diagonal/>
    </border>
    <border>
      <left style="medium">
        <color auto="1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auto="1"/>
      </right>
      <top/>
      <bottom/>
      <diagonal/>
    </border>
    <border>
      <left style="medium">
        <color auto="1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/>
      <bottom style="medium">
        <color theme="1" tint="0.34998626667073579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theme="1" tint="0.34998626667073579"/>
      </right>
      <top style="medium">
        <color theme="1" tint="0.34998626667073579"/>
      </top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auto="1"/>
      </bottom>
      <diagonal/>
    </border>
    <border>
      <left/>
      <right/>
      <top style="medium">
        <color theme="1" tint="0.34998626667073579"/>
      </top>
      <bottom style="medium">
        <color auto="1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auto="1"/>
      </bottom>
      <diagonal/>
    </border>
    <border>
      <left style="medium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auto="1"/>
      </bottom>
      <diagonal/>
    </border>
    <border>
      <left style="medium">
        <color auto="1"/>
      </left>
      <right style="thin">
        <color theme="1" tint="0.34998626667073579"/>
      </right>
      <top/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auto="1"/>
      </bottom>
      <diagonal/>
    </border>
    <border>
      <left style="thin">
        <color theme="1" tint="0.34998626667073579"/>
      </left>
      <right style="medium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1" tint="0.34998626667073579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auto="1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theme="1" tint="0.34998626667073579"/>
      </right>
      <top/>
      <bottom style="thin">
        <color auto="1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4" fillId="0" borderId="0"/>
  </cellStyleXfs>
  <cellXfs count="486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3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3" xfId="0" applyNumberFormat="1" applyFont="1" applyFill="1" applyBorder="1" applyAlignment="1"/>
    <xf numFmtId="0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right"/>
    </xf>
    <xf numFmtId="4" fontId="2" fillId="0" borderId="3" xfId="0" quotePrefix="1" applyNumberFormat="1" applyFont="1" applyFill="1" applyBorder="1" applyAlignment="1"/>
    <xf numFmtId="4" fontId="2" fillId="0" borderId="3" xfId="0" applyNumberFormat="1" applyFont="1" applyFill="1" applyBorder="1" applyAlignment="1">
      <alignment wrapText="1"/>
    </xf>
    <xf numFmtId="4" fontId="2" fillId="0" borderId="3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right" wrapText="1"/>
    </xf>
    <xf numFmtId="4" fontId="2" fillId="0" borderId="3" xfId="0" quotePrefix="1" applyNumberFormat="1" applyFont="1" applyFill="1" applyBorder="1" applyAlignment="1">
      <alignment wrapText="1"/>
    </xf>
    <xf numFmtId="4" fontId="2" fillId="0" borderId="3" xfId="0" applyFont="1" applyFill="1" applyBorder="1" applyAlignment="1">
      <alignment vertical="top" wrapText="1"/>
    </xf>
    <xf numFmtId="4" fontId="2" fillId="0" borderId="3" xfId="0" quotePrefix="1" applyFont="1" applyFill="1" applyBorder="1" applyAlignment="1">
      <alignment vertical="top" wrapText="1"/>
    </xf>
    <xf numFmtId="4" fontId="2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4" fontId="2" fillId="0" borderId="3" xfId="0" quotePrefix="1" applyFont="1" applyFill="1" applyBorder="1" applyAlignment="1">
      <alignment horizontal="right" wrapText="1"/>
    </xf>
    <xf numFmtId="4" fontId="2" fillId="0" borderId="3" xfId="0" applyNumberFormat="1" applyFont="1" applyFill="1" applyBorder="1">
      <alignment vertical="top" wrapText="1"/>
    </xf>
    <xf numFmtId="4" fontId="2" fillId="0" borderId="3" xfId="0" quotePrefix="1" applyNumberFormat="1" applyFont="1" applyFill="1" applyBorder="1">
      <alignment vertical="top" wrapText="1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left" wrapText="1"/>
    </xf>
    <xf numFmtId="4" fontId="3" fillId="0" borderId="3" xfId="0" applyNumberFormat="1" applyFont="1" applyFill="1" applyBorder="1" applyAlignment="1"/>
    <xf numFmtId="0" fontId="2" fillId="0" borderId="3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>
      <alignment vertical="center"/>
    </xf>
    <xf numFmtId="4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left" vertical="center"/>
    </xf>
    <xf numFmtId="0" fontId="2" fillId="0" borderId="3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horizontal="right"/>
    </xf>
    <xf numFmtId="4" fontId="2" fillId="0" borderId="3" xfId="0" quotePrefix="1" applyNumberFormat="1" applyFont="1" applyFill="1" applyBorder="1" applyAlignment="1">
      <alignment horizontal="right" vertical="center"/>
    </xf>
    <xf numFmtId="4" fontId="2" fillId="0" borderId="9" xfId="0" applyFont="1" applyFill="1" applyBorder="1" applyAlignment="1">
      <alignment horizontal="center" vertical="center" wrapText="1"/>
    </xf>
    <xf numFmtId="4" fontId="2" fillId="0" borderId="10" xfId="0" applyFont="1" applyFill="1" applyBorder="1" applyAlignment="1">
      <alignment horizontal="center" wrapText="1"/>
    </xf>
    <xf numFmtId="0" fontId="3" fillId="0" borderId="11" xfId="0" applyNumberFormat="1" applyFont="1" applyFill="1" applyBorder="1" applyAlignment="1"/>
    <xf numFmtId="0" fontId="3" fillId="0" borderId="12" xfId="0" applyNumberFormat="1" applyFont="1" applyFill="1" applyBorder="1" applyAlignment="1"/>
    <xf numFmtId="0" fontId="3" fillId="0" borderId="13" xfId="0" applyNumberFormat="1" applyFont="1" applyFill="1" applyBorder="1" applyAlignment="1"/>
    <xf numFmtId="4" fontId="3" fillId="0" borderId="11" xfId="0" applyNumberFormat="1" applyFont="1" applyFill="1" applyBorder="1" applyAlignment="1">
      <alignment horizontal="left"/>
    </xf>
    <xf numFmtId="0" fontId="3" fillId="0" borderId="12" xfId="0" applyNumberFormat="1" applyFont="1" applyFill="1" applyBorder="1" applyAlignment="1">
      <alignment horizontal="left"/>
    </xf>
    <xf numFmtId="4" fontId="3" fillId="0" borderId="13" xfId="0" applyNumberFormat="1" applyFont="1" applyFill="1" applyBorder="1" applyAlignment="1">
      <alignment horizontal="left"/>
    </xf>
    <xf numFmtId="4" fontId="2" fillId="0" borderId="3" xfId="0" quotePrefix="1" applyNumberFormat="1" applyFont="1" applyFill="1" applyBorder="1" applyAlignment="1">
      <alignment horizontal="right" wrapText="1"/>
    </xf>
    <xf numFmtId="0" fontId="3" fillId="0" borderId="13" xfId="0" applyNumberFormat="1" applyFont="1" applyFill="1" applyBorder="1" applyAlignment="1">
      <alignment horizontal="left"/>
    </xf>
    <xf numFmtId="4" fontId="6" fillId="0" borderId="11" xfId="0" applyNumberFormat="1" applyFont="1" applyFill="1" applyBorder="1" applyAlignment="1">
      <alignment horizontal="left"/>
    </xf>
    <xf numFmtId="0" fontId="1" fillId="0" borderId="12" xfId="0" applyNumberFormat="1" applyFont="1" applyFill="1" applyBorder="1" applyAlignment="1">
      <alignment horizontal="center"/>
    </xf>
    <xf numFmtId="0" fontId="3" fillId="0" borderId="16" xfId="0" applyNumberFormat="1" applyFont="1" applyFill="1" applyBorder="1" applyAlignment="1"/>
    <xf numFmtId="4" fontId="3" fillId="0" borderId="15" xfId="0" applyNumberFormat="1" applyFont="1" applyFill="1" applyBorder="1" applyAlignment="1">
      <alignment horizontal="left"/>
    </xf>
    <xf numFmtId="0" fontId="3" fillId="0" borderId="16" xfId="0" applyNumberFormat="1" applyFont="1" applyFill="1" applyBorder="1" applyAlignment="1">
      <alignment horizontal="left"/>
    </xf>
    <xf numFmtId="4" fontId="3" fillId="0" borderId="16" xfId="0" applyNumberFormat="1" applyFont="1" applyFill="1" applyBorder="1" applyAlignment="1">
      <alignment horizontal="left"/>
    </xf>
    <xf numFmtId="4" fontId="2" fillId="0" borderId="3" xfId="0" quotePrefix="1" applyFont="1" applyFill="1" applyBorder="1" applyAlignment="1">
      <alignment wrapText="1"/>
    </xf>
    <xf numFmtId="4" fontId="2" fillId="0" borderId="3" xfId="0" applyFont="1" applyFill="1" applyBorder="1" applyAlignment="1">
      <alignment wrapText="1"/>
    </xf>
    <xf numFmtId="4" fontId="2" fillId="0" borderId="3" xfId="0" applyFont="1" applyFill="1" applyBorder="1" applyAlignment="1">
      <alignment horizontal="center" wrapText="1"/>
    </xf>
    <xf numFmtId="4" fontId="2" fillId="0" borderId="3" xfId="0" applyFont="1" applyFill="1" applyBorder="1" applyAlignment="1"/>
    <xf numFmtId="4" fontId="2" fillId="0" borderId="6" xfId="0" applyFont="1" applyFill="1" applyBorder="1" applyAlignment="1">
      <alignment vertical="top" wrapText="1"/>
    </xf>
    <xf numFmtId="4" fontId="2" fillId="0" borderId="3" xfId="0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4" fontId="2" fillId="0" borderId="3" xfId="0" quotePrefix="1" applyNumberFormat="1" applyFont="1" applyFill="1" applyBorder="1" applyAlignment="1">
      <alignment horizontal="left" vertical="top" wrapText="1"/>
    </xf>
    <xf numFmtId="4" fontId="3" fillId="0" borderId="3" xfId="0" applyNumberFormat="1" applyFont="1" applyFill="1" applyBorder="1" applyAlignment="1">
      <alignment horizontal="left" wrapText="1"/>
    </xf>
    <xf numFmtId="4" fontId="3" fillId="0" borderId="3" xfId="0" applyNumberFormat="1" applyFont="1" applyFill="1" applyBorder="1" applyAlignment="1">
      <alignment wrapText="1"/>
    </xf>
    <xf numFmtId="4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right" vertical="center"/>
    </xf>
    <xf numFmtId="4" fontId="2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>
      <alignment wrapText="1"/>
    </xf>
    <xf numFmtId="4" fontId="4" fillId="0" borderId="7" xfId="0" applyFont="1" applyFill="1" applyBorder="1" applyAlignment="1">
      <alignment horizontal="center" vertical="top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3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3" xfId="0" applyNumberFormat="1" applyFont="1" applyFill="1" applyBorder="1" applyAlignment="1">
      <alignment horizontal="left"/>
    </xf>
    <xf numFmtId="4" fontId="2" fillId="0" borderId="3" xfId="0" quotePrefix="1" applyFont="1" applyFill="1" applyBorder="1" applyAlignment="1">
      <alignment vertical="top"/>
    </xf>
    <xf numFmtId="4" fontId="2" fillId="0" borderId="14" xfId="0" applyFont="1" applyFill="1" applyBorder="1" applyAlignment="1">
      <alignment horizontal="center" wrapText="1"/>
    </xf>
    <xf numFmtId="4" fontId="2" fillId="0" borderId="14" xfId="0" applyNumberFormat="1" applyFont="1" applyFill="1" applyBorder="1" applyAlignment="1"/>
    <xf numFmtId="0" fontId="2" fillId="0" borderId="14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right"/>
    </xf>
    <xf numFmtId="4" fontId="2" fillId="0" borderId="14" xfId="0" quotePrefix="1" applyFont="1" applyFill="1" applyBorder="1" applyAlignment="1">
      <alignment horizontal="right" wrapText="1"/>
    </xf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10" fillId="0" borderId="3" xfId="0" applyFont="1" applyFill="1" applyBorder="1" applyAlignment="1">
      <alignment vertical="top" wrapText="1"/>
    </xf>
    <xf numFmtId="0" fontId="2" fillId="0" borderId="14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2" xfId="0" applyNumberFormat="1" applyFont="1" applyFill="1" applyBorder="1" applyAlignment="1"/>
    <xf numFmtId="4" fontId="2" fillId="0" borderId="3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/>
    <xf numFmtId="4" fontId="2" fillId="0" borderId="3" xfId="0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left" vertical="center" wrapText="1"/>
    </xf>
    <xf numFmtId="0" fontId="2" fillId="0" borderId="3" xfId="0" quotePrefix="1" applyNumberFormat="1" applyFont="1" applyFill="1" applyBorder="1" applyAlignment="1">
      <alignment wrapText="1"/>
    </xf>
    <xf numFmtId="0" fontId="2" fillId="0" borderId="3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/>
    </xf>
    <xf numFmtId="4" fontId="2" fillId="0" borderId="3" xfId="0" applyNumberFormat="1" applyFont="1" applyFill="1" applyBorder="1" applyAlignment="1">
      <alignment horizontal="center"/>
    </xf>
    <xf numFmtId="4" fontId="2" fillId="0" borderId="3" xfId="0" applyFont="1" applyFill="1" applyBorder="1">
      <alignment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7" xfId="0" applyFont="1" applyFill="1" applyBorder="1" applyAlignment="1">
      <alignment horizontal="center" vertical="top" wrapText="1"/>
    </xf>
    <xf numFmtId="4" fontId="9" fillId="0" borderId="17" xfId="0" applyFont="1" applyFill="1" applyBorder="1" applyAlignment="1">
      <alignment horizontal="center" vertical="top" wrapText="1"/>
    </xf>
    <xf numFmtId="4" fontId="2" fillId="0" borderId="17" xfId="0" applyFont="1" applyFill="1" applyBorder="1" applyAlignment="1">
      <alignment horizontal="center" vertical="top"/>
    </xf>
    <xf numFmtId="4" fontId="2" fillId="0" borderId="17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left"/>
    </xf>
    <xf numFmtId="4" fontId="2" fillId="0" borderId="1" xfId="0" applyFont="1" applyFill="1" applyBorder="1" applyAlignment="1">
      <alignment vertical="top" wrapText="1"/>
    </xf>
    <xf numFmtId="0" fontId="2" fillId="0" borderId="18" xfId="0" applyNumberFormat="1" applyFont="1" applyFill="1" applyBorder="1" applyAlignment="1">
      <alignment wrapText="1"/>
    </xf>
    <xf numFmtId="4" fontId="2" fillId="0" borderId="3" xfId="0" quotePrefix="1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2" fontId="2" fillId="0" borderId="3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 vertical="top" wrapText="1"/>
    </xf>
    <xf numFmtId="2" fontId="2" fillId="0" borderId="0" xfId="0" applyNumberFormat="1" applyFont="1" applyFill="1" applyAlignment="1">
      <alignment horizontal="right"/>
    </xf>
    <xf numFmtId="4" fontId="3" fillId="0" borderId="11" xfId="0" applyNumberFormat="1" applyFont="1" applyFill="1" applyBorder="1" applyAlignment="1"/>
    <xf numFmtId="4" fontId="3" fillId="0" borderId="13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4" fontId="3" fillId="0" borderId="8" xfId="0" applyNumberFormat="1" applyFont="1" applyFill="1" applyBorder="1" applyAlignment="1">
      <alignment horizontal="left"/>
    </xf>
    <xf numFmtId="0" fontId="3" fillId="0" borderId="8" xfId="0" applyNumberFormat="1" applyFont="1" applyFill="1" applyBorder="1" applyAlignment="1">
      <alignment horizontal="left"/>
    </xf>
    <xf numFmtId="4" fontId="2" fillId="0" borderId="0" xfId="0" applyFont="1" applyFill="1" applyAlignment="1">
      <alignment wrapText="1"/>
    </xf>
    <xf numFmtId="4" fontId="2" fillId="0" borderId="18" xfId="0" applyNumberFormat="1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wrapText="1"/>
    </xf>
    <xf numFmtId="4" fontId="8" fillId="0" borderId="0" xfId="0" applyFont="1" applyFill="1" applyAlignment="1">
      <alignment horizontal="center" vertical="center" wrapText="1"/>
    </xf>
    <xf numFmtId="2" fontId="8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4" fontId="2" fillId="0" borderId="8" xfId="0" applyNumberFormat="1" applyFont="1" applyFill="1" applyBorder="1" applyAlignment="1">
      <alignment horizontal="right" wrapText="1"/>
    </xf>
    <xf numFmtId="0" fontId="3" fillId="0" borderId="3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16" xfId="0" applyNumberFormat="1" applyFont="1" applyFill="1" applyBorder="1" applyAlignment="1">
      <alignment horizontal="right" wrapText="1"/>
    </xf>
    <xf numFmtId="0" fontId="2" fillId="0" borderId="0" xfId="0" quotePrefix="1" applyNumberFormat="1" applyFont="1" applyFill="1" applyBorder="1" applyAlignment="1">
      <alignment wrapText="1"/>
    </xf>
    <xf numFmtId="4" fontId="0" fillId="0" borderId="3" xfId="0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center" vertical="center"/>
    </xf>
    <xf numFmtId="4" fontId="2" fillId="0" borderId="24" xfId="0" applyFont="1" applyFill="1" applyBorder="1" applyAlignment="1">
      <alignment vertical="top" wrapText="1"/>
    </xf>
    <xf numFmtId="4" fontId="2" fillId="0" borderId="21" xfId="0" applyNumberFormat="1" applyFont="1" applyFill="1" applyBorder="1" applyAlignment="1">
      <alignment horizontal="center" wrapText="1"/>
    </xf>
    <xf numFmtId="4" fontId="2" fillId="0" borderId="24" xfId="0" applyNumberFormat="1" applyFont="1" applyFill="1" applyBorder="1" applyAlignment="1">
      <alignment horizontal="left" wrapText="1"/>
    </xf>
    <xf numFmtId="4" fontId="2" fillId="0" borderId="24" xfId="0" applyFont="1" applyFill="1" applyBorder="1" applyAlignment="1">
      <alignment horizontal="right"/>
    </xf>
    <xf numFmtId="0" fontId="0" fillId="0" borderId="3" xfId="0" applyNumberFormat="1" applyFont="1" applyFill="1" applyBorder="1" applyAlignment="1">
      <alignment horizontal="center"/>
    </xf>
    <xf numFmtId="4" fontId="0" fillId="0" borderId="3" xfId="0" applyNumberFormat="1" applyFont="1" applyFill="1" applyBorder="1" applyAlignment="1">
      <alignment horizontal="right"/>
    </xf>
    <xf numFmtId="4" fontId="2" fillId="0" borderId="26" xfId="0" applyNumberFormat="1" applyFont="1" applyFill="1" applyBorder="1" applyAlignment="1"/>
    <xf numFmtId="4" fontId="2" fillId="0" borderId="28" xfId="0" applyFont="1" applyFill="1" applyBorder="1" applyAlignment="1">
      <alignment vertical="top" wrapText="1"/>
    </xf>
    <xf numFmtId="4" fontId="2" fillId="0" borderId="3" xfId="0" quotePrefix="1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left" vertical="top"/>
    </xf>
    <xf numFmtId="4" fontId="2" fillId="0" borderId="21" xfId="0" applyNumberFormat="1" applyFont="1" applyFill="1" applyBorder="1" applyAlignment="1">
      <alignment wrapText="1"/>
    </xf>
    <xf numFmtId="4" fontId="2" fillId="0" borderId="22" xfId="0" applyFont="1" applyFill="1" applyBorder="1" applyAlignment="1">
      <alignment wrapText="1"/>
    </xf>
    <xf numFmtId="4" fontId="2" fillId="0" borderId="21" xfId="0" applyFont="1" applyFill="1" applyBorder="1" applyAlignment="1">
      <alignment wrapText="1"/>
    </xf>
    <xf numFmtId="0" fontId="2" fillId="0" borderId="21" xfId="0" applyNumberFormat="1" applyFont="1" applyFill="1" applyBorder="1" applyAlignment="1">
      <alignment wrapText="1"/>
    </xf>
    <xf numFmtId="4" fontId="2" fillId="0" borderId="23" xfId="0" applyFont="1" applyFill="1" applyBorder="1" applyAlignment="1">
      <alignment wrapText="1"/>
    </xf>
    <xf numFmtId="3" fontId="2" fillId="0" borderId="3" xfId="0" applyNumberFormat="1" applyFont="1" applyFill="1" applyBorder="1" applyAlignment="1">
      <alignment horizontal="left" vertical="center" wrapText="1"/>
    </xf>
    <xf numFmtId="4" fontId="2" fillId="0" borderId="23" xfId="0" applyNumberFormat="1" applyFont="1" applyFill="1" applyBorder="1" applyAlignment="1">
      <alignment wrapText="1"/>
    </xf>
    <xf numFmtId="4" fontId="2" fillId="0" borderId="23" xfId="0" applyNumberFormat="1" applyFont="1" applyFill="1" applyBorder="1" applyAlignment="1">
      <alignment vertical="top" wrapText="1"/>
    </xf>
    <xf numFmtId="4" fontId="2" fillId="0" borderId="23" xfId="0" applyFont="1" applyFill="1" applyBorder="1" applyAlignment="1"/>
    <xf numFmtId="4" fontId="2" fillId="0" borderId="24" xfId="0" applyNumberFormat="1" applyFont="1" applyFill="1" applyBorder="1" applyAlignment="1">
      <alignment wrapText="1"/>
    </xf>
    <xf numFmtId="4" fontId="2" fillId="0" borderId="24" xfId="0" applyNumberFormat="1" applyFont="1" applyFill="1" applyBorder="1" applyAlignment="1"/>
    <xf numFmtId="4" fontId="2" fillId="0" borderId="24" xfId="0" quotePrefix="1" applyFont="1" applyFill="1" applyBorder="1" applyAlignment="1">
      <alignment vertical="top" wrapText="1"/>
    </xf>
    <xf numFmtId="4" fontId="2" fillId="0" borderId="24" xfId="0" applyFont="1" applyFill="1" applyBorder="1" applyAlignment="1">
      <alignment horizontal="center" vertical="top" wrapText="1"/>
    </xf>
    <xf numFmtId="0" fontId="2" fillId="0" borderId="24" xfId="0" applyNumberFormat="1" applyFont="1" applyFill="1" applyBorder="1" applyAlignment="1">
      <alignment wrapText="1"/>
    </xf>
    <xf numFmtId="4" fontId="2" fillId="0" borderId="24" xfId="0" applyFont="1" applyFill="1" applyBorder="1" applyAlignment="1">
      <alignment horizontal="center" wrapText="1"/>
    </xf>
    <xf numFmtId="4" fontId="2" fillId="0" borderId="24" xfId="0" quotePrefix="1" applyFont="1" applyFill="1" applyBorder="1" applyAlignment="1">
      <alignment horizontal="right" wrapText="1"/>
    </xf>
    <xf numFmtId="0" fontId="2" fillId="0" borderId="24" xfId="0" applyNumberFormat="1" applyFont="1" applyFill="1" applyBorder="1" applyAlignment="1">
      <alignment horizontal="center"/>
    </xf>
    <xf numFmtId="4" fontId="2" fillId="0" borderId="24" xfId="0" applyNumberFormat="1" applyFont="1" applyFill="1" applyBorder="1" applyAlignment="1">
      <alignment horizontal="right" wrapText="1"/>
    </xf>
    <xf numFmtId="4" fontId="2" fillId="0" borderId="0" xfId="0" quotePrefix="1" applyFont="1" applyFill="1">
      <alignment vertical="top" wrapText="1"/>
    </xf>
    <xf numFmtId="4" fontId="0" fillId="0" borderId="0" xfId="0" applyFont="1" applyFill="1" applyBorder="1" applyAlignment="1">
      <alignment vertical="top" wrapText="1"/>
    </xf>
    <xf numFmtId="4" fontId="2" fillId="0" borderId="25" xfId="0" applyFont="1" applyFill="1" applyBorder="1" applyAlignment="1">
      <alignment wrapText="1"/>
    </xf>
    <xf numFmtId="4" fontId="8" fillId="0" borderId="0" xfId="0" applyNumberFormat="1" applyFont="1" applyFill="1" applyBorder="1" applyAlignment="1"/>
    <xf numFmtId="0" fontId="2" fillId="0" borderId="3" xfId="0" applyNumberFormat="1" applyFont="1" applyFill="1" applyBorder="1" applyAlignment="1">
      <alignment vertical="top"/>
    </xf>
    <xf numFmtId="4" fontId="2" fillId="0" borderId="0" xfId="0" applyFont="1" applyFill="1" applyBorder="1" applyAlignment="1">
      <alignment horizontal="center" vertical="center" wrapText="1"/>
    </xf>
    <xf numFmtId="4" fontId="2" fillId="0" borderId="25" xfId="0" applyFont="1" applyFill="1" applyBorder="1" applyAlignment="1">
      <alignment vertical="top" wrapText="1"/>
    </xf>
    <xf numFmtId="4" fontId="2" fillId="0" borderId="2" xfId="0" applyFont="1" applyFill="1" applyBorder="1" applyAlignment="1"/>
    <xf numFmtId="4" fontId="2" fillId="0" borderId="2" xfId="0" applyFont="1" applyFill="1" applyBorder="1" applyAlignment="1">
      <alignment wrapText="1"/>
    </xf>
    <xf numFmtId="4" fontId="2" fillId="0" borderId="2" xfId="0" quotePrefix="1" applyFont="1" applyFill="1" applyBorder="1" applyAlignment="1"/>
    <xf numFmtId="0" fontId="3" fillId="0" borderId="0" xfId="0" applyNumberFormat="1" applyFont="1" applyFill="1" applyBorder="1" applyAlignment="1"/>
    <xf numFmtId="4" fontId="8" fillId="0" borderId="0" xfId="0" applyFont="1" applyFill="1" applyAlignment="1">
      <alignment vertical="center" wrapText="1"/>
    </xf>
    <xf numFmtId="4" fontId="8" fillId="0" borderId="0" xfId="0" applyFont="1" applyFill="1" applyAlignment="1">
      <alignment horizontal="center" vertical="top" wrapText="1"/>
    </xf>
    <xf numFmtId="4" fontId="8" fillId="0" borderId="0" xfId="0" applyFont="1" applyFill="1" applyAlignment="1">
      <alignment horizontal="left" vertical="top"/>
    </xf>
    <xf numFmtId="4" fontId="2" fillId="0" borderId="19" xfId="0" applyFont="1" applyFill="1" applyBorder="1" applyAlignment="1">
      <alignment vertical="top" wrapText="1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4" fontId="2" fillId="0" borderId="19" xfId="0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center"/>
    </xf>
    <xf numFmtId="4" fontId="2" fillId="0" borderId="27" xfId="0" applyFont="1" applyFill="1" applyBorder="1" applyAlignment="1">
      <alignment vertical="top" wrapText="1"/>
    </xf>
    <xf numFmtId="4" fontId="2" fillId="0" borderId="19" xfId="0" applyNumberFormat="1" applyFont="1" applyFill="1" applyBorder="1" applyAlignment="1"/>
    <xf numFmtId="4" fontId="3" fillId="0" borderId="0" xfId="0" applyNumberFormat="1" applyFont="1" applyFill="1" applyBorder="1" applyAlignment="1">
      <alignment wrapText="1"/>
    </xf>
    <xf numFmtId="4" fontId="3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5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4" fontId="2" fillId="0" borderId="3" xfId="0" quotePrefix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wrapText="1"/>
    </xf>
    <xf numFmtId="4" fontId="2" fillId="0" borderId="20" xfId="0" applyFont="1" applyFill="1" applyBorder="1" applyAlignment="1">
      <alignment vertical="top" wrapText="1"/>
    </xf>
    <xf numFmtId="4" fontId="2" fillId="0" borderId="20" xfId="0" quotePrefix="1" applyFont="1" applyFill="1" applyBorder="1" applyAlignment="1">
      <alignment vertical="top" wrapText="1"/>
    </xf>
    <xf numFmtId="4" fontId="2" fillId="0" borderId="20" xfId="0" quotePrefix="1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center" wrapText="1"/>
    </xf>
    <xf numFmtId="4" fontId="2" fillId="0" borderId="23" xfId="0" applyFont="1" applyFill="1" applyBorder="1" applyAlignment="1">
      <alignment vertical="top" wrapText="1"/>
    </xf>
    <xf numFmtId="4" fontId="2" fillId="0" borderId="29" xfId="0" applyFont="1" applyFill="1" applyBorder="1" applyAlignment="1">
      <alignment wrapText="1"/>
    </xf>
    <xf numFmtId="4" fontId="2" fillId="0" borderId="0" xfId="0" applyFont="1" applyFill="1" applyAlignment="1">
      <alignment horizontal="center" vertical="top" wrapText="1"/>
    </xf>
    <xf numFmtId="4" fontId="2" fillId="0" borderId="24" xfId="0" applyFont="1" applyFill="1" applyBorder="1" applyAlignment="1">
      <alignment horizontal="center"/>
    </xf>
    <xf numFmtId="4" fontId="2" fillId="0" borderId="24" xfId="0" applyFont="1" applyFill="1" applyBorder="1" applyAlignment="1"/>
    <xf numFmtId="4" fontId="2" fillId="0" borderId="24" xfId="0" quotePrefix="1" applyNumberFormat="1" applyFont="1" applyFill="1" applyBorder="1" applyAlignment="1">
      <alignment wrapText="1"/>
    </xf>
    <xf numFmtId="4" fontId="2" fillId="0" borderId="38" xfId="0" applyFont="1" applyFill="1" applyBorder="1" applyAlignment="1">
      <alignment horizontal="center" vertical="center" wrapText="1"/>
    </xf>
    <xf numFmtId="4" fontId="2" fillId="0" borderId="39" xfId="0" applyFont="1" applyFill="1" applyBorder="1" applyAlignment="1">
      <alignment horizontal="center" wrapText="1"/>
    </xf>
    <xf numFmtId="4" fontId="3" fillId="0" borderId="40" xfId="0" applyFont="1" applyFill="1" applyBorder="1" applyAlignment="1">
      <alignment horizontal="center" vertical="center" wrapText="1"/>
    </xf>
    <xf numFmtId="4" fontId="2" fillId="0" borderId="42" xfId="0" applyFont="1" applyFill="1" applyBorder="1" applyAlignment="1">
      <alignment horizontal="center" vertical="top" wrapText="1"/>
    </xf>
    <xf numFmtId="4" fontId="2" fillId="0" borderId="43" xfId="0" applyFont="1" applyFill="1" applyBorder="1" applyAlignment="1">
      <alignment vertical="top" wrapText="1"/>
    </xf>
    <xf numFmtId="4" fontId="2" fillId="0" borderId="44" xfId="0" applyFont="1" applyFill="1" applyBorder="1" applyAlignment="1">
      <alignment horizontal="center" vertical="top" wrapText="1"/>
    </xf>
    <xf numFmtId="4" fontId="2" fillId="0" borderId="45" xfId="0" applyFont="1" applyFill="1" applyBorder="1" applyAlignment="1">
      <alignment vertical="top" wrapText="1"/>
    </xf>
    <xf numFmtId="4" fontId="2" fillId="0" borderId="23" xfId="0" quotePrefix="1" applyFont="1" applyFill="1" applyBorder="1" applyAlignment="1">
      <alignment wrapText="1"/>
    </xf>
    <xf numFmtId="4" fontId="2" fillId="0" borderId="0" xfId="0" quotePrefix="1" applyFont="1" applyBorder="1" applyAlignment="1">
      <alignment horizontal="left" vertical="center" wrapText="1"/>
    </xf>
    <xf numFmtId="4" fontId="2" fillId="0" borderId="44" xfId="0" applyFont="1" applyFill="1" applyBorder="1" applyAlignment="1">
      <alignment horizontal="center" vertical="center" wrapText="1"/>
    </xf>
    <xf numFmtId="4" fontId="2" fillId="0" borderId="45" xfId="0" applyFont="1" applyFill="1" applyBorder="1" applyAlignment="1">
      <alignment wrapText="1"/>
    </xf>
    <xf numFmtId="4" fontId="2" fillId="0" borderId="0" xfId="0" applyFont="1" applyBorder="1" applyAlignment="1">
      <alignment horizontal="left" vertical="center" wrapText="1"/>
    </xf>
    <xf numFmtId="0" fontId="2" fillId="0" borderId="23" xfId="0" applyNumberFormat="1" applyFont="1" applyFill="1" applyBorder="1" applyAlignment="1">
      <alignment wrapText="1"/>
    </xf>
    <xf numFmtId="4" fontId="2" fillId="0" borderId="45" xfId="0" applyNumberFormat="1" applyFont="1" applyFill="1" applyBorder="1" applyAlignment="1">
      <alignment wrapText="1"/>
    </xf>
    <xf numFmtId="49" fontId="3" fillId="0" borderId="40" xfId="0" applyNumberFormat="1" applyFont="1" applyFill="1" applyBorder="1" applyAlignment="1">
      <alignment horizontal="center"/>
    </xf>
    <xf numFmtId="4" fontId="3" fillId="0" borderId="41" xfId="0" applyNumberFormat="1" applyFont="1" applyFill="1" applyBorder="1" applyAlignment="1"/>
    <xf numFmtId="49" fontId="3" fillId="0" borderId="46" xfId="0" applyNumberFormat="1" applyFont="1" applyFill="1" applyBorder="1" applyAlignment="1">
      <alignment horizontal="center"/>
    </xf>
    <xf numFmtId="0" fontId="3" fillId="0" borderId="47" xfId="0" applyNumberFormat="1" applyFont="1" applyFill="1" applyBorder="1" applyAlignment="1"/>
    <xf numFmtId="4" fontId="4" fillId="0" borderId="44" xfId="0" applyFont="1" applyFill="1" applyBorder="1" applyAlignment="1">
      <alignment horizontal="center" vertical="top" wrapText="1"/>
    </xf>
    <xf numFmtId="4" fontId="4" fillId="0" borderId="44" xfId="0" applyFont="1" applyFill="1" applyBorder="1" applyAlignment="1">
      <alignment horizontal="center" vertical="center" wrapText="1"/>
    </xf>
    <xf numFmtId="4" fontId="2" fillId="0" borderId="45" xfId="0" applyNumberFormat="1" applyFont="1" applyFill="1" applyBorder="1" applyAlignment="1"/>
    <xf numFmtId="4" fontId="2" fillId="0" borderId="45" xfId="0" applyNumberFormat="1" applyFont="1" applyFill="1" applyBorder="1" applyAlignment="1">
      <alignment horizontal="right" wrapText="1"/>
    </xf>
    <xf numFmtId="4" fontId="4" fillId="0" borderId="44" xfId="0" applyFont="1" applyFill="1" applyBorder="1" applyAlignment="1">
      <alignment horizontal="center" wrapText="1"/>
    </xf>
    <xf numFmtId="4" fontId="2" fillId="0" borderId="44" xfId="0" applyFont="1" applyFill="1" applyBorder="1" applyAlignment="1">
      <alignment horizontal="center" wrapText="1"/>
    </xf>
    <xf numFmtId="4" fontId="2" fillId="0" borderId="45" xfId="0" applyFont="1" applyFill="1" applyBorder="1" applyAlignment="1">
      <alignment horizontal="right" wrapText="1"/>
    </xf>
    <xf numFmtId="4" fontId="2" fillId="0" borderId="34" xfId="0" applyFont="1" applyFill="1" applyBorder="1" applyAlignment="1">
      <alignment vertical="top" wrapText="1"/>
    </xf>
    <xf numFmtId="4" fontId="2" fillId="0" borderId="45" xfId="0" applyNumberFormat="1" applyFont="1" applyFill="1" applyBorder="1" applyAlignment="1">
      <alignment horizontal="right"/>
    </xf>
    <xf numFmtId="4" fontId="2" fillId="0" borderId="44" xfId="0" applyFont="1" applyFill="1" applyBorder="1" applyAlignment="1">
      <alignment horizontal="center"/>
    </xf>
    <xf numFmtId="4" fontId="4" fillId="0" borderId="44" xfId="0" applyFont="1" applyFill="1" applyBorder="1" applyAlignment="1">
      <alignment horizontal="center" vertical="top"/>
    </xf>
    <xf numFmtId="0" fontId="2" fillId="0" borderId="23" xfId="0" applyNumberFormat="1" applyFont="1" applyFill="1" applyBorder="1" applyAlignment="1">
      <alignment vertical="center" wrapText="1"/>
    </xf>
    <xf numFmtId="0" fontId="2" fillId="0" borderId="44" xfId="0" applyNumberFormat="1" applyFont="1" applyFill="1" applyBorder="1" applyAlignment="1">
      <alignment horizontal="center" vertical="top"/>
    </xf>
    <xf numFmtId="4" fontId="2" fillId="0" borderId="23" xfId="0" applyNumberFormat="1" applyFont="1" applyFill="1" applyBorder="1" applyAlignment="1"/>
    <xf numFmtId="2" fontId="3" fillId="0" borderId="40" xfId="0" applyNumberFormat="1" applyFont="1" applyFill="1" applyBorder="1" applyAlignment="1">
      <alignment horizontal="center"/>
    </xf>
    <xf numFmtId="2" fontId="3" fillId="0" borderId="46" xfId="0" applyNumberFormat="1" applyFont="1" applyFill="1" applyBorder="1" applyAlignment="1">
      <alignment horizontal="center"/>
    </xf>
    <xf numFmtId="4" fontId="3" fillId="0" borderId="36" xfId="0" applyNumberFormat="1" applyFont="1" applyFill="1" applyBorder="1" applyAlignment="1"/>
    <xf numFmtId="4" fontId="2" fillId="0" borderId="44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9" fillId="0" borderId="44" xfId="0" applyFont="1" applyFill="1" applyBorder="1" applyAlignment="1">
      <alignment horizontal="center" vertical="top" wrapText="1"/>
    </xf>
    <xf numFmtId="4" fontId="2" fillId="0" borderId="33" xfId="0" applyFont="1" applyFill="1" applyBorder="1" applyAlignment="1">
      <alignment horizontal="center" vertical="top" wrapText="1"/>
    </xf>
    <xf numFmtId="4" fontId="2" fillId="0" borderId="45" xfId="0" applyNumberFormat="1" applyFont="1" applyFill="1" applyBorder="1" applyAlignment="1">
      <alignment vertical="center"/>
    </xf>
    <xf numFmtId="4" fontId="8" fillId="0" borderId="45" xfId="0" applyNumberFormat="1" applyFont="1" applyFill="1" applyBorder="1" applyAlignment="1"/>
    <xf numFmtId="2" fontId="3" fillId="0" borderId="37" xfId="0" applyNumberFormat="1" applyFont="1" applyFill="1" applyBorder="1" applyAlignment="1">
      <alignment horizontal="center"/>
    </xf>
    <xf numFmtId="4" fontId="3" fillId="0" borderId="48" xfId="0" applyNumberFormat="1" applyFont="1" applyFill="1" applyBorder="1" applyAlignment="1"/>
    <xf numFmtId="4" fontId="3" fillId="0" borderId="47" xfId="0" applyNumberFormat="1" applyFont="1" applyFill="1" applyBorder="1" applyAlignment="1"/>
    <xf numFmtId="0" fontId="2" fillId="0" borderId="44" xfId="0" applyNumberFormat="1" applyFont="1" applyFill="1" applyBorder="1" applyAlignment="1">
      <alignment horizontal="center"/>
    </xf>
    <xf numFmtId="4" fontId="3" fillId="0" borderId="23" xfId="0" applyNumberFormat="1" applyFont="1" applyFill="1" applyBorder="1" applyAlignment="1">
      <alignment horizontal="left" vertical="top"/>
    </xf>
    <xf numFmtId="4" fontId="2" fillId="0" borderId="23" xfId="0" applyFont="1" applyFill="1" applyBorder="1" applyAlignment="1">
      <alignment horizontal="left" wrapText="1"/>
    </xf>
    <xf numFmtId="4" fontId="3" fillId="0" borderId="33" xfId="0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/>
    </xf>
    <xf numFmtId="4" fontId="3" fillId="0" borderId="45" xfId="0" applyNumberFormat="1" applyFont="1" applyFill="1" applyBorder="1" applyAlignment="1">
      <alignment horizontal="right"/>
    </xf>
    <xf numFmtId="0" fontId="3" fillId="0" borderId="44" xfId="0" applyNumberFormat="1" applyFont="1" applyFill="1" applyBorder="1" applyAlignment="1">
      <alignment horizontal="center" vertical="top"/>
    </xf>
    <xf numFmtId="0" fontId="4" fillId="0" borderId="44" xfId="0" applyNumberFormat="1" applyFont="1" applyFill="1" applyBorder="1" applyAlignment="1">
      <alignment horizontal="center"/>
    </xf>
    <xf numFmtId="0" fontId="3" fillId="0" borderId="44" xfId="0" applyNumberFormat="1" applyFont="1" applyFill="1" applyBorder="1" applyAlignment="1">
      <alignment horizontal="center"/>
    </xf>
    <xf numFmtId="4" fontId="2" fillId="0" borderId="50" xfId="0" applyNumberFormat="1" applyFont="1" applyFill="1" applyBorder="1" applyAlignment="1">
      <alignment horizontal="right"/>
    </xf>
    <xf numFmtId="0" fontId="2" fillId="0" borderId="44" xfId="0" applyNumberFormat="1" applyFont="1" applyFill="1" applyBorder="1" applyAlignment="1">
      <alignment horizontal="center" wrapText="1"/>
    </xf>
    <xf numFmtId="0" fontId="4" fillId="0" borderId="44" xfId="0" applyNumberFormat="1" applyFont="1" applyFill="1" applyBorder="1" applyAlignment="1">
      <alignment horizontal="center" vertical="top"/>
    </xf>
    <xf numFmtId="4" fontId="2" fillId="0" borderId="45" xfId="0" applyNumberFormat="1" applyFont="1" applyFill="1" applyBorder="1">
      <alignment vertical="top" wrapText="1"/>
    </xf>
    <xf numFmtId="4" fontId="0" fillId="0" borderId="45" xfId="0" applyNumberFormat="1" applyFont="1" applyFill="1" applyBorder="1" applyAlignment="1">
      <alignment horizontal="right"/>
    </xf>
    <xf numFmtId="4" fontId="2" fillId="0" borderId="0" xfId="0" quotePrefix="1" applyFont="1" applyFill="1" applyBorder="1">
      <alignment vertical="top" wrapText="1"/>
    </xf>
    <xf numFmtId="4" fontId="4" fillId="0" borderId="44" xfId="0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 vertical="center"/>
    </xf>
    <xf numFmtId="4" fontId="2" fillId="0" borderId="45" xfId="0" applyNumberFormat="1" applyFont="1" applyFill="1" applyBorder="1" applyAlignment="1">
      <alignment horizontal="right" vertical="center"/>
    </xf>
    <xf numFmtId="4" fontId="2" fillId="0" borderId="51" xfId="0" applyFont="1" applyFill="1" applyBorder="1" applyAlignment="1">
      <alignment vertical="top" wrapText="1"/>
    </xf>
    <xf numFmtId="4" fontId="2" fillId="0" borderId="51" xfId="0" applyNumberFormat="1" applyFont="1" applyFill="1" applyBorder="1" applyAlignment="1"/>
    <xf numFmtId="4" fontId="2" fillId="0" borderId="51" xfId="0" applyNumberFormat="1" applyFont="1" applyFill="1" applyBorder="1" applyAlignment="1">
      <alignment horizontal="right" wrapText="1"/>
    </xf>
    <xf numFmtId="4" fontId="2" fillId="0" borderId="34" xfId="0" applyNumberFormat="1" applyFont="1" applyFill="1" applyBorder="1" applyAlignment="1"/>
    <xf numFmtId="4" fontId="2" fillId="0" borderId="49" xfId="0" applyFont="1" applyFill="1" applyBorder="1" applyAlignment="1">
      <alignment horizontal="center" vertical="top" wrapText="1"/>
    </xf>
    <xf numFmtId="4" fontId="2" fillId="0" borderId="50" xfId="0" applyNumberFormat="1" applyFont="1" applyFill="1" applyBorder="1" applyAlignment="1"/>
    <xf numFmtId="4" fontId="2" fillId="0" borderId="45" xfId="0" quotePrefix="1" applyNumberFormat="1" applyFont="1" applyFill="1" applyBorder="1" applyAlignment="1">
      <alignment vertical="center"/>
    </xf>
    <xf numFmtId="49" fontId="1" fillId="0" borderId="40" xfId="0" applyNumberFormat="1" applyFont="1" applyFill="1" applyBorder="1" applyAlignment="1">
      <alignment horizontal="center"/>
    </xf>
    <xf numFmtId="0" fontId="1" fillId="0" borderId="47" xfId="0" applyNumberFormat="1" applyFont="1" applyFill="1" applyBorder="1" applyAlignment="1">
      <alignment horizontal="center"/>
    </xf>
    <xf numFmtId="2" fontId="3" fillId="0" borderId="52" xfId="0" applyNumberFormat="1" applyFont="1" applyFill="1" applyBorder="1" applyAlignment="1">
      <alignment horizontal="center"/>
    </xf>
    <xf numFmtId="4" fontId="3" fillId="0" borderId="53" xfId="0" applyNumberFormat="1" applyFont="1" applyFill="1" applyBorder="1" applyAlignment="1">
      <alignment horizontal="left"/>
    </xf>
    <xf numFmtId="0" fontId="3" fillId="0" borderId="54" xfId="0" applyNumberFormat="1" applyFont="1" applyFill="1" applyBorder="1" applyAlignment="1">
      <alignment horizontal="left"/>
    </xf>
    <xf numFmtId="0" fontId="3" fillId="0" borderId="55" xfId="0" applyNumberFormat="1" applyFont="1" applyFill="1" applyBorder="1" applyAlignment="1">
      <alignment horizontal="left"/>
    </xf>
    <xf numFmtId="4" fontId="3" fillId="0" borderId="56" xfId="0" applyNumberFormat="1" applyFont="1" applyFill="1" applyBorder="1" applyAlignment="1"/>
    <xf numFmtId="4" fontId="3" fillId="0" borderId="3" xfId="0" applyNumberFormat="1" applyFont="1" applyFill="1" applyBorder="1" applyAlignment="1">
      <alignment horizontal="left" vertical="top" wrapText="1"/>
    </xf>
    <xf numFmtId="4" fontId="2" fillId="0" borderId="33" xfId="0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top" wrapText="1"/>
    </xf>
    <xf numFmtId="0" fontId="2" fillId="0" borderId="0" xfId="2" applyFont="1" applyBorder="1" applyAlignment="1">
      <alignment vertical="top" wrapText="1"/>
    </xf>
    <xf numFmtId="4" fontId="2" fillId="0" borderId="23" xfId="0" applyNumberFormat="1" applyFont="1" applyFill="1" applyBorder="1" applyAlignment="1">
      <alignment horizontal="left" vertical="top" wrapText="1"/>
    </xf>
    <xf numFmtId="4" fontId="13" fillId="0" borderId="0" xfId="0" applyFont="1" applyAlignment="1">
      <alignment vertical="center" wrapText="1"/>
    </xf>
    <xf numFmtId="4" fontId="2" fillId="0" borderId="3" xfId="0" quotePrefix="1" applyNumberFormat="1" applyFont="1" applyFill="1" applyBorder="1" applyAlignment="1">
      <alignment horizontal="right"/>
    </xf>
    <xf numFmtId="4" fontId="2" fillId="0" borderId="3" xfId="0" quotePrefix="1" applyNumberFormat="1" applyFont="1" applyFill="1" applyBorder="1" applyAlignment="1">
      <alignment horizontal="left"/>
    </xf>
    <xf numFmtId="4" fontId="2" fillId="0" borderId="23" xfId="0" quotePrefix="1" applyNumberFormat="1" applyFont="1" applyFill="1" applyBorder="1" applyAlignment="1">
      <alignment horizontal="right"/>
    </xf>
    <xf numFmtId="4" fontId="0" fillId="0" borderId="3" xfId="0" quotePrefix="1" applyNumberFormat="1" applyFont="1" applyFill="1" applyBorder="1" applyAlignment="1">
      <alignment horizontal="right"/>
    </xf>
    <xf numFmtId="4" fontId="2" fillId="0" borderId="9" xfId="0" applyFont="1" applyFill="1" applyBorder="1" applyAlignment="1">
      <alignment horizontal="right" wrapText="1"/>
    </xf>
    <xf numFmtId="4" fontId="2" fillId="0" borderId="10" xfId="0" applyFont="1" applyFill="1" applyBorder="1" applyAlignment="1">
      <alignment horizontal="right" wrapText="1"/>
    </xf>
    <xf numFmtId="4" fontId="2" fillId="0" borderId="6" xfId="0" applyFont="1" applyFill="1" applyBorder="1" applyAlignment="1">
      <alignment horizontal="right" wrapText="1"/>
    </xf>
    <xf numFmtId="0" fontId="3" fillId="0" borderId="12" xfId="0" applyNumberFormat="1" applyFont="1" applyFill="1" applyBorder="1" applyAlignment="1">
      <alignment horizontal="right"/>
    </xf>
    <xf numFmtId="4" fontId="2" fillId="0" borderId="0" xfId="0" quotePrefix="1" applyFont="1" applyFill="1" applyBorder="1" applyAlignment="1">
      <alignment horizontal="right"/>
    </xf>
    <xf numFmtId="3" fontId="2" fillId="0" borderId="3" xfId="0" quotePrefix="1" applyNumberFormat="1" applyFont="1" applyFill="1" applyBorder="1" applyAlignment="1">
      <alignment horizontal="right" wrapText="1"/>
    </xf>
    <xf numFmtId="0" fontId="2" fillId="0" borderId="3" xfId="0" quotePrefix="1" applyNumberFormat="1" applyFont="1" applyFill="1" applyBorder="1" applyAlignment="1">
      <alignment horizontal="right" wrapText="1"/>
    </xf>
    <xf numFmtId="4" fontId="2" fillId="0" borderId="0" xfId="0" quotePrefix="1" applyNumberFormat="1" applyFont="1" applyFill="1" applyBorder="1" applyAlignment="1">
      <alignment horizontal="right" wrapText="1"/>
    </xf>
    <xf numFmtId="4" fontId="3" fillId="0" borderId="12" xfId="0" applyNumberFormat="1" applyFont="1" applyFill="1" applyBorder="1" applyAlignment="1">
      <alignment horizontal="right"/>
    </xf>
    <xf numFmtId="4" fontId="3" fillId="0" borderId="16" xfId="0" applyNumberFormat="1" applyFont="1" applyFill="1" applyBorder="1" applyAlignment="1">
      <alignment horizontal="right"/>
    </xf>
    <xf numFmtId="4" fontId="3" fillId="0" borderId="8" xfId="0" applyNumberFormat="1" applyFont="1" applyFill="1" applyBorder="1" applyAlignment="1">
      <alignment horizontal="right"/>
    </xf>
    <xf numFmtId="0" fontId="3" fillId="0" borderId="3" xfId="0" applyNumberFormat="1" applyFont="1" applyFill="1" applyBorder="1" applyAlignment="1">
      <alignment horizontal="right" wrapText="1"/>
    </xf>
    <xf numFmtId="3" fontId="2" fillId="0" borderId="14" xfId="0" applyNumberFormat="1" applyFont="1" applyFill="1" applyBorder="1" applyAlignment="1">
      <alignment horizontal="right"/>
    </xf>
    <xf numFmtId="3" fontId="2" fillId="0" borderId="3" xfId="0" quotePrefix="1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 wrapText="1"/>
    </xf>
    <xf numFmtId="2" fontId="2" fillId="0" borderId="3" xfId="0" quotePrefix="1" applyNumberFormat="1" applyFont="1" applyFill="1" applyBorder="1" applyAlignment="1">
      <alignment horizontal="right" wrapText="1"/>
    </xf>
    <xf numFmtId="4" fontId="2" fillId="0" borderId="24" xfId="0" applyFont="1" applyFill="1" applyBorder="1" applyAlignment="1">
      <alignment horizontal="right" wrapText="1"/>
    </xf>
    <xf numFmtId="4" fontId="2" fillId="0" borderId="24" xfId="0" quotePrefix="1" applyNumberFormat="1" applyFont="1" applyFill="1" applyBorder="1" applyAlignment="1">
      <alignment horizontal="right" wrapText="1"/>
    </xf>
    <xf numFmtId="0" fontId="1" fillId="0" borderId="12" xfId="0" applyNumberFormat="1" applyFont="1" applyFill="1" applyBorder="1" applyAlignment="1">
      <alignment horizontal="right"/>
    </xf>
    <xf numFmtId="0" fontId="3" fillId="0" borderId="54" xfId="0" applyNumberFormat="1" applyFont="1" applyFill="1" applyBorder="1" applyAlignment="1">
      <alignment horizontal="right"/>
    </xf>
    <xf numFmtId="0" fontId="3" fillId="0" borderId="16" xfId="0" applyNumberFormat="1" applyFont="1" applyFill="1" applyBorder="1" applyAlignment="1">
      <alignment horizontal="right"/>
    </xf>
    <xf numFmtId="4" fontId="2" fillId="0" borderId="0" xfId="0" applyFont="1" applyFill="1" applyAlignment="1">
      <alignment horizontal="right" wrapText="1"/>
    </xf>
    <xf numFmtId="4" fontId="2" fillId="0" borderId="24" xfId="3" applyFont="1" applyFill="1" applyBorder="1" applyAlignment="1">
      <alignment vertical="top" wrapText="1"/>
    </xf>
    <xf numFmtId="4" fontId="2" fillId="0" borderId="57" xfId="0" applyFont="1" applyFill="1" applyBorder="1" applyAlignment="1">
      <alignment horizontal="center" vertical="top" wrapText="1"/>
    </xf>
    <xf numFmtId="0" fontId="2" fillId="0" borderId="58" xfId="0" applyNumberFormat="1" applyFont="1" applyFill="1" applyBorder="1" applyAlignment="1">
      <alignment vertical="top" wrapText="1"/>
    </xf>
    <xf numFmtId="4" fontId="2" fillId="0" borderId="58" xfId="0" applyFont="1" applyFill="1" applyBorder="1" applyAlignment="1">
      <alignment horizontal="center" wrapText="1"/>
    </xf>
    <xf numFmtId="4" fontId="2" fillId="0" borderId="58" xfId="0" quotePrefix="1" applyFont="1" applyFill="1" applyBorder="1" applyAlignment="1">
      <alignment horizontal="right" wrapText="1"/>
    </xf>
    <xf numFmtId="4" fontId="2" fillId="0" borderId="58" xfId="0" applyNumberFormat="1" applyFont="1" applyFill="1" applyBorder="1" applyAlignment="1"/>
    <xf numFmtId="4" fontId="2" fillId="0" borderId="59" xfId="0" applyNumberFormat="1" applyFont="1" applyFill="1" applyBorder="1" applyAlignment="1"/>
    <xf numFmtId="4" fontId="2" fillId="0" borderId="57" xfId="0" applyFont="1" applyFill="1" applyBorder="1" applyAlignment="1">
      <alignment horizontal="center" vertical="center" wrapText="1"/>
    </xf>
    <xf numFmtId="4" fontId="2" fillId="0" borderId="60" xfId="0" applyFont="1" applyFill="1" applyBorder="1" applyAlignment="1">
      <alignment wrapText="1"/>
    </xf>
    <xf numFmtId="4" fontId="2" fillId="0" borderId="58" xfId="0" applyFont="1" applyFill="1" applyBorder="1" applyAlignment="1">
      <alignment vertical="top" wrapText="1"/>
    </xf>
    <xf numFmtId="4" fontId="2" fillId="0" borderId="58" xfId="0" applyFont="1" applyFill="1" applyBorder="1" applyAlignment="1">
      <alignment horizontal="right" wrapText="1"/>
    </xf>
    <xf numFmtId="4" fontId="2" fillId="0" borderId="59" xfId="0" applyFont="1" applyFill="1" applyBorder="1" applyAlignment="1">
      <alignment vertical="top" wrapText="1"/>
    </xf>
    <xf numFmtId="4" fontId="2" fillId="0" borderId="28" xfId="0" quotePrefix="1" applyFont="1" applyFill="1" applyBorder="1" applyAlignment="1">
      <alignment vertical="top" wrapText="1"/>
    </xf>
    <xf numFmtId="4" fontId="2" fillId="0" borderId="28" xfId="0" quotePrefix="1" applyFont="1" applyFill="1" applyBorder="1" applyAlignment="1">
      <alignment wrapText="1"/>
    </xf>
    <xf numFmtId="4" fontId="2" fillId="0" borderId="58" xfId="0" applyNumberFormat="1" applyFont="1" applyFill="1" applyBorder="1" applyAlignment="1">
      <alignment wrapText="1"/>
    </xf>
    <xf numFmtId="4" fontId="2" fillId="0" borderId="59" xfId="0" applyNumberFormat="1" applyFont="1" applyFill="1" applyBorder="1" applyAlignment="1">
      <alignment wrapText="1"/>
    </xf>
    <xf numFmtId="4" fontId="2" fillId="0" borderId="58" xfId="0" quotePrefix="1" applyFont="1" applyFill="1" applyBorder="1" applyAlignment="1">
      <alignment vertical="top" wrapText="1"/>
    </xf>
    <xf numFmtId="4" fontId="4" fillId="0" borderId="57" xfId="0" applyFont="1" applyFill="1" applyBorder="1" applyAlignment="1">
      <alignment horizontal="center" vertical="center" wrapText="1"/>
    </xf>
    <xf numFmtId="4" fontId="2" fillId="0" borderId="58" xfId="0" quotePrefix="1" applyFont="1" applyFill="1" applyBorder="1" applyAlignment="1">
      <alignment wrapText="1"/>
    </xf>
    <xf numFmtId="4" fontId="2" fillId="0" borderId="58" xfId="0" applyFont="1" applyFill="1" applyBorder="1" applyAlignment="1">
      <alignment wrapText="1"/>
    </xf>
    <xf numFmtId="4" fontId="2" fillId="0" borderId="58" xfId="0" quotePrefix="1" applyFont="1" applyFill="1" applyBorder="1" applyAlignment="1">
      <alignment horizontal="right"/>
    </xf>
    <xf numFmtId="4" fontId="2" fillId="0" borderId="58" xfId="0" applyNumberFormat="1" applyFont="1" applyFill="1" applyBorder="1">
      <alignment vertical="top" wrapText="1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58" xfId="0" applyNumberFormat="1" applyFont="1" applyFill="1" applyBorder="1" applyAlignment="1">
      <alignment horizontal="left" vertical="center" wrapText="1"/>
    </xf>
    <xf numFmtId="4" fontId="2" fillId="0" borderId="58" xfId="0" applyFont="1" applyFill="1" applyBorder="1" applyAlignment="1">
      <alignment horizontal="center" vertical="top" wrapText="1"/>
    </xf>
    <xf numFmtId="0" fontId="2" fillId="0" borderId="58" xfId="0" applyNumberFormat="1" applyFont="1" applyFill="1" applyBorder="1" applyAlignment="1">
      <alignment horizontal="center"/>
    </xf>
    <xf numFmtId="4" fontId="2" fillId="0" borderId="58" xfId="0" applyNumberFormat="1" applyFont="1" applyFill="1" applyBorder="1" applyAlignment="1">
      <alignment horizontal="right"/>
    </xf>
    <xf numFmtId="4" fontId="2" fillId="0" borderId="58" xfId="0" quotePrefix="1" applyNumberFormat="1" applyFont="1" applyFill="1" applyBorder="1" applyAlignment="1">
      <alignment vertical="center" wrapText="1"/>
    </xf>
    <xf numFmtId="4" fontId="2" fillId="0" borderId="58" xfId="0" applyNumberFormat="1" applyFont="1" applyFill="1" applyBorder="1" applyAlignment="1">
      <alignment horizontal="right" wrapText="1"/>
    </xf>
    <xf numFmtId="4" fontId="2" fillId="0" borderId="60" xfId="0" applyNumberFormat="1" applyFont="1" applyFill="1" applyBorder="1" applyAlignment="1">
      <alignment wrapText="1"/>
    </xf>
    <xf numFmtId="4" fontId="2" fillId="0" borderId="58" xfId="0" applyFont="1" applyFill="1" applyBorder="1" applyAlignment="1">
      <alignment horizontal="center"/>
    </xf>
    <xf numFmtId="4" fontId="2" fillId="0" borderId="58" xfId="0" applyNumberFormat="1" applyFont="1" applyFill="1" applyBorder="1" applyAlignment="1">
      <alignment vertical="top" wrapText="1"/>
    </xf>
    <xf numFmtId="0" fontId="2" fillId="0" borderId="57" xfId="0" applyNumberFormat="1" applyFont="1" applyFill="1" applyBorder="1" applyAlignment="1">
      <alignment horizontal="center" vertical="top"/>
    </xf>
    <xf numFmtId="4" fontId="2" fillId="0" borderId="58" xfId="0" quotePrefix="1" applyNumberFormat="1" applyFont="1" applyFill="1" applyBorder="1" applyAlignment="1">
      <alignment horizontal="right" wrapText="1"/>
    </xf>
    <xf numFmtId="0" fontId="2" fillId="0" borderId="58" xfId="0" applyNumberFormat="1" applyFont="1" applyFill="1" applyBorder="1" applyAlignment="1">
      <alignment wrapText="1"/>
    </xf>
    <xf numFmtId="4" fontId="2" fillId="0" borderId="59" xfId="0" applyNumberFormat="1" applyFont="1" applyFill="1" applyBorder="1" applyAlignment="1">
      <alignment horizontal="right"/>
    </xf>
    <xf numFmtId="4" fontId="2" fillId="0" borderId="28" xfId="0" quotePrefix="1" applyFont="1" applyFill="1" applyBorder="1" applyAlignment="1">
      <alignment horizontal="right" wrapText="1"/>
    </xf>
    <xf numFmtId="4" fontId="4" fillId="0" borderId="57" xfId="0" applyFont="1" applyFill="1" applyBorder="1" applyAlignment="1">
      <alignment horizontal="center" vertical="top"/>
    </xf>
    <xf numFmtId="4" fontId="2" fillId="0" borderId="58" xfId="0" applyNumberFormat="1" applyFont="1" applyFill="1" applyBorder="1" applyAlignment="1">
      <alignment vertical="center" wrapText="1"/>
    </xf>
    <xf numFmtId="4" fontId="2" fillId="0" borderId="59" xfId="0" quotePrefix="1" applyNumberFormat="1" applyFont="1" applyFill="1" applyBorder="1" applyAlignment="1"/>
    <xf numFmtId="4" fontId="2" fillId="0" borderId="28" xfId="0" applyFont="1" applyFill="1" applyBorder="1" applyAlignment="1">
      <alignment wrapText="1"/>
    </xf>
    <xf numFmtId="4" fontId="4" fillId="0" borderId="57" xfId="0" applyFont="1" applyFill="1" applyBorder="1" applyAlignment="1">
      <alignment horizontal="center" vertical="top" wrapText="1"/>
    </xf>
    <xf numFmtId="4" fontId="2" fillId="0" borderId="58" xfId="0" quotePrefix="1" applyNumberFormat="1" applyFont="1" applyFill="1" applyBorder="1" applyAlignment="1">
      <alignment wrapText="1"/>
    </xf>
    <xf numFmtId="4" fontId="2" fillId="0" borderId="58" xfId="0" applyNumberFormat="1" applyFont="1" applyFill="1" applyBorder="1" applyAlignment="1">
      <alignment horizontal="left" wrapText="1"/>
    </xf>
    <xf numFmtId="4" fontId="2" fillId="0" borderId="58" xfId="0" applyNumberFormat="1" applyFont="1" applyFill="1" applyBorder="1" applyAlignment="1">
      <alignment vertical="center"/>
    </xf>
    <xf numFmtId="4" fontId="2" fillId="0" borderId="28" xfId="0" quotePrefix="1" applyNumberFormat="1" applyFont="1" applyFill="1" applyBorder="1" applyAlignment="1">
      <alignment wrapText="1"/>
    </xf>
    <xf numFmtId="4" fontId="2" fillId="0" borderId="28" xfId="0" quotePrefix="1" applyNumberFormat="1" applyFont="1" applyFill="1" applyBorder="1" applyAlignment="1">
      <alignment horizontal="right" wrapText="1"/>
    </xf>
    <xf numFmtId="0" fontId="2" fillId="0" borderId="61" xfId="0" applyNumberFormat="1" applyFont="1" applyFill="1" applyBorder="1" applyAlignment="1">
      <alignment horizontal="center"/>
    </xf>
    <xf numFmtId="4" fontId="2" fillId="0" borderId="58" xfId="0" applyNumberFormat="1" applyFont="1" applyFill="1" applyBorder="1" applyAlignment="1">
      <alignment horizontal="left" vertical="top" wrapText="1"/>
    </xf>
    <xf numFmtId="0" fontId="2" fillId="0" borderId="58" xfId="0" applyNumberFormat="1" applyFont="1" applyFill="1" applyBorder="1" applyAlignment="1">
      <alignment horizontal="center" wrapText="1"/>
    </xf>
    <xf numFmtId="0" fontId="2" fillId="0" borderId="58" xfId="0" applyNumberFormat="1" applyFont="1" applyFill="1" applyBorder="1" applyAlignment="1">
      <alignment horizontal="right" wrapText="1"/>
    </xf>
    <xf numFmtId="3" fontId="2" fillId="0" borderId="58" xfId="0" quotePrefix="1" applyNumberFormat="1" applyFont="1" applyFill="1" applyBorder="1" applyAlignment="1">
      <alignment horizontal="right" wrapText="1"/>
    </xf>
    <xf numFmtId="4" fontId="2" fillId="0" borderId="28" xfId="0" applyFont="1" applyFill="1" applyBorder="1">
      <alignment vertical="top" wrapText="1"/>
    </xf>
    <xf numFmtId="4" fontId="2" fillId="0" borderId="62" xfId="0" quotePrefix="1" applyFont="1" applyFill="1" applyBorder="1" applyAlignment="1">
      <alignment vertical="top" wrapText="1"/>
    </xf>
    <xf numFmtId="0" fontId="2" fillId="0" borderId="63" xfId="0" applyNumberFormat="1" applyFont="1" applyFill="1" applyBorder="1" applyAlignment="1">
      <alignment horizontal="center" wrapText="1"/>
    </xf>
    <xf numFmtId="4" fontId="2" fillId="0" borderId="62" xfId="0" quotePrefix="1" applyFont="1" applyFill="1" applyBorder="1" applyAlignment="1">
      <alignment vertical="top"/>
    </xf>
    <xf numFmtId="4" fontId="2" fillId="0" borderId="63" xfId="0" applyNumberFormat="1" applyFont="1" applyFill="1" applyBorder="1" applyAlignment="1">
      <alignment horizontal="right" wrapText="1"/>
    </xf>
    <xf numFmtId="4" fontId="2" fillId="0" borderId="64" xfId="0" applyNumberFormat="1" applyFont="1" applyFill="1" applyBorder="1" applyAlignment="1">
      <alignment horizontal="right"/>
    </xf>
    <xf numFmtId="0" fontId="2" fillId="0" borderId="57" xfId="0" applyNumberFormat="1" applyFont="1" applyFill="1" applyBorder="1" applyAlignment="1">
      <alignment horizontal="center"/>
    </xf>
    <xf numFmtId="0" fontId="4" fillId="0" borderId="57" xfId="0" applyNumberFormat="1" applyFont="1" applyFill="1" applyBorder="1" applyAlignment="1">
      <alignment horizontal="center"/>
    </xf>
    <xf numFmtId="3" fontId="2" fillId="0" borderId="58" xfId="0" applyNumberFormat="1" applyFont="1" applyFill="1" applyBorder="1" applyAlignment="1">
      <alignment horizontal="right"/>
    </xf>
    <xf numFmtId="3" fontId="2" fillId="0" borderId="58" xfId="0" quotePrefix="1" applyNumberFormat="1" applyFont="1" applyFill="1" applyBorder="1" applyAlignment="1">
      <alignment horizontal="right"/>
    </xf>
    <xf numFmtId="0" fontId="4" fillId="0" borderId="57" xfId="0" applyNumberFormat="1" applyFont="1" applyFill="1" applyBorder="1" applyAlignment="1">
      <alignment horizontal="center" vertical="top"/>
    </xf>
    <xf numFmtId="0" fontId="2" fillId="0" borderId="57" xfId="0" applyNumberFormat="1" applyFont="1" applyFill="1" applyBorder="1" applyAlignment="1">
      <alignment horizontal="center" wrapText="1"/>
    </xf>
    <xf numFmtId="4" fontId="2" fillId="0" borderId="58" xfId="0" quotePrefix="1" applyNumberFormat="1" applyFont="1" applyFill="1" applyBorder="1" applyAlignment="1">
      <alignment horizontal="left" vertical="top" wrapText="1"/>
    </xf>
    <xf numFmtId="4" fontId="2" fillId="0" borderId="58" xfId="0" quotePrefix="1" applyNumberFormat="1" applyFont="1" applyFill="1" applyBorder="1" applyAlignment="1">
      <alignment horizontal="right"/>
    </xf>
    <xf numFmtId="4" fontId="2" fillId="0" borderId="65" xfId="0" applyNumberFormat="1" applyFont="1" applyFill="1" applyBorder="1" applyAlignment="1">
      <alignment wrapText="1"/>
    </xf>
    <xf numFmtId="0" fontId="2" fillId="0" borderId="58" xfId="0" quotePrefix="1" applyNumberFormat="1" applyFont="1" applyFill="1" applyBorder="1" applyAlignment="1">
      <alignment horizontal="right" wrapText="1"/>
    </xf>
    <xf numFmtId="3" fontId="2" fillId="0" borderId="58" xfId="0" applyNumberFormat="1" applyFont="1" applyFill="1" applyBorder="1" applyAlignment="1">
      <alignment horizontal="right" wrapText="1"/>
    </xf>
    <xf numFmtId="2" fontId="2" fillId="0" borderId="58" xfId="0" applyNumberFormat="1" applyFont="1" applyFill="1" applyBorder="1" applyAlignment="1">
      <alignment horizontal="right"/>
    </xf>
    <xf numFmtId="3" fontId="2" fillId="0" borderId="58" xfId="0" applyNumberFormat="1" applyFont="1" applyFill="1" applyBorder="1" applyAlignment="1">
      <alignment horizontal="left" vertical="center" wrapText="1"/>
    </xf>
    <xf numFmtId="0" fontId="2" fillId="0" borderId="57" xfId="0" applyNumberFormat="1" applyFont="1" applyFill="1" applyBorder="1" applyAlignment="1">
      <alignment horizontal="center" vertical="center"/>
    </xf>
    <xf numFmtId="4" fontId="2" fillId="0" borderId="66" xfId="0" applyFont="1" applyFill="1" applyBorder="1" applyAlignment="1">
      <alignment horizontal="center" vertical="top" wrapText="1"/>
    </xf>
    <xf numFmtId="4" fontId="2" fillId="0" borderId="65" xfId="0" applyFont="1" applyFill="1" applyBorder="1" applyAlignment="1">
      <alignment vertical="top" wrapText="1"/>
    </xf>
    <xf numFmtId="4" fontId="2" fillId="0" borderId="67" xfId="0" applyFont="1" applyFill="1" applyBorder="1" applyAlignment="1">
      <alignment vertical="top" wrapText="1"/>
    </xf>
    <xf numFmtId="4" fontId="2" fillId="0" borderId="66" xfId="0" applyFont="1" applyFill="1" applyBorder="1" applyAlignment="1">
      <alignment horizontal="center"/>
    </xf>
    <xf numFmtId="0" fontId="2" fillId="0" borderId="28" xfId="0" quotePrefix="1" applyNumberFormat="1" applyFont="1" applyFill="1" applyBorder="1" applyAlignment="1">
      <alignment wrapText="1"/>
    </xf>
    <xf numFmtId="2" fontId="2" fillId="0" borderId="28" xfId="0" quotePrefix="1" applyNumberFormat="1" applyFont="1" applyFill="1" applyBorder="1" applyAlignment="1">
      <alignment horizontal="right" wrapText="1"/>
    </xf>
    <xf numFmtId="4" fontId="2" fillId="0" borderId="65" xfId="0" applyFont="1" applyFill="1" applyBorder="1" applyAlignment="1">
      <alignment horizontal="right"/>
    </xf>
    <xf numFmtId="4" fontId="2" fillId="0" borderId="67" xfId="0" applyNumberFormat="1" applyFont="1" applyFill="1" applyBorder="1" applyAlignment="1">
      <alignment horizontal="right" wrapText="1"/>
    </xf>
    <xf numFmtId="4" fontId="2" fillId="0" borderId="63" xfId="0" applyNumberFormat="1" applyFont="1" applyFill="1" applyBorder="1">
      <alignment vertical="top" wrapText="1"/>
    </xf>
    <xf numFmtId="0" fontId="2" fillId="0" borderId="63" xfId="0" applyNumberFormat="1" applyFont="1" applyFill="1" applyBorder="1" applyAlignment="1">
      <alignment horizontal="center"/>
    </xf>
    <xf numFmtId="2" fontId="2" fillId="0" borderId="63" xfId="0" applyNumberFormat="1" applyFont="1" applyFill="1" applyBorder="1" applyAlignment="1">
      <alignment horizontal="right"/>
    </xf>
    <xf numFmtId="4" fontId="2" fillId="0" borderId="63" xfId="0" applyNumberFormat="1" applyFont="1" applyFill="1" applyBorder="1" applyAlignment="1">
      <alignment horizontal="right" vertical="center"/>
    </xf>
    <xf numFmtId="4" fontId="2" fillId="0" borderId="58" xfId="0" applyFont="1" applyFill="1" applyBorder="1" applyAlignment="1"/>
    <xf numFmtId="4" fontId="2" fillId="0" borderId="58" xfId="0" applyFont="1" applyFill="1" applyBorder="1" applyAlignment="1">
      <alignment horizontal="right"/>
    </xf>
    <xf numFmtId="0" fontId="2" fillId="0" borderId="60" xfId="0" applyNumberFormat="1" applyFont="1" applyFill="1" applyBorder="1" applyAlignment="1">
      <alignment wrapText="1"/>
    </xf>
    <xf numFmtId="4" fontId="2" fillId="0" borderId="60" xfId="0" applyNumberFormat="1" applyFont="1" applyFill="1" applyBorder="1" applyAlignment="1">
      <alignment vertical="top" wrapText="1"/>
    </xf>
    <xf numFmtId="4" fontId="2" fillId="0" borderId="58" xfId="0" applyNumberFormat="1" applyFont="1" applyFill="1" applyBorder="1" applyAlignment="1">
      <alignment horizontal="right" vertical="center"/>
    </xf>
    <xf numFmtId="4" fontId="2" fillId="0" borderId="68" xfId="0" applyNumberFormat="1" applyFont="1" applyFill="1" applyBorder="1" applyAlignment="1"/>
    <xf numFmtId="4" fontId="2" fillId="0" borderId="64" xfId="0" applyNumberFormat="1" applyFont="1" applyFill="1" applyBorder="1" applyAlignment="1"/>
    <xf numFmtId="0" fontId="2" fillId="0" borderId="58" xfId="0" applyNumberFormat="1" applyFont="1" applyFill="1" applyBorder="1" applyAlignment="1">
      <alignment horizontal="left"/>
    </xf>
    <xf numFmtId="4" fontId="2" fillId="0" borderId="65" xfId="0" applyNumberFormat="1" applyFont="1" applyFill="1" applyBorder="1" applyAlignment="1"/>
    <xf numFmtId="4" fontId="2" fillId="0" borderId="69" xfId="0" applyNumberFormat="1" applyFont="1" applyFill="1" applyBorder="1" applyAlignment="1"/>
    <xf numFmtId="4" fontId="8" fillId="0" borderId="0" xfId="0" applyFont="1" applyFill="1" applyBorder="1" applyAlignment="1">
      <alignment horizontal="center" vertical="top" wrapText="1"/>
    </xf>
    <xf numFmtId="4" fontId="2" fillId="0" borderId="0" xfId="0" applyFont="1" applyFill="1" applyBorder="1" applyAlignment="1">
      <alignment horizontal="center" vertical="top"/>
    </xf>
    <xf numFmtId="4" fontId="2" fillId="0" borderId="44" xfId="0" applyFont="1" applyFill="1" applyBorder="1" applyAlignment="1">
      <alignment vertical="top" wrapText="1"/>
    </xf>
    <xf numFmtId="0" fontId="2" fillId="0" borderId="70" xfId="0" applyNumberFormat="1" applyFont="1" applyFill="1" applyBorder="1" applyAlignment="1">
      <alignment horizontal="center"/>
    </xf>
    <xf numFmtId="0" fontId="2" fillId="0" borderId="71" xfId="0" applyNumberFormat="1" applyFont="1" applyFill="1" applyBorder="1" applyAlignment="1">
      <alignment horizontal="center"/>
    </xf>
    <xf numFmtId="0" fontId="4" fillId="0" borderId="49" xfId="0" applyNumberFormat="1" applyFont="1" applyFill="1" applyBorder="1" applyAlignment="1">
      <alignment horizontal="center"/>
    </xf>
    <xf numFmtId="4" fontId="2" fillId="0" borderId="70" xfId="0" applyFont="1" applyFill="1" applyBorder="1" applyAlignment="1">
      <alignment horizontal="center" vertical="top" wrapText="1"/>
    </xf>
    <xf numFmtId="2" fontId="3" fillId="0" borderId="35" xfId="0" applyNumberFormat="1" applyFont="1" applyFill="1" applyBorder="1" applyAlignment="1">
      <alignment horizontal="center"/>
    </xf>
    <xf numFmtId="2" fontId="3" fillId="0" borderId="72" xfId="0" applyNumberFormat="1" applyFont="1" applyFill="1" applyBorder="1" applyAlignment="1">
      <alignment horizontal="center"/>
    </xf>
    <xf numFmtId="4" fontId="2" fillId="0" borderId="33" xfId="0" applyFont="1" applyFill="1" applyBorder="1" applyAlignment="1">
      <alignment vertical="top" wrapText="1"/>
    </xf>
    <xf numFmtId="4" fontId="2" fillId="0" borderId="34" xfId="0" applyFont="1" applyFill="1" applyBorder="1" applyAlignment="1">
      <alignment horizontal="right" vertical="top"/>
    </xf>
    <xf numFmtId="4" fontId="8" fillId="0" borderId="34" xfId="0" applyFont="1" applyFill="1" applyBorder="1" applyAlignment="1">
      <alignment horizontal="center" vertical="top" wrapText="1"/>
    </xf>
    <xf numFmtId="4" fontId="2" fillId="0" borderId="73" xfId="0" applyFont="1" applyFill="1" applyBorder="1" applyAlignment="1">
      <alignment horizontal="center" vertical="top" wrapText="1"/>
    </xf>
    <xf numFmtId="4" fontId="2" fillId="0" borderId="74" xfId="0" applyFont="1" applyFill="1" applyBorder="1" applyAlignment="1">
      <alignment vertical="top" wrapText="1"/>
    </xf>
    <xf numFmtId="4" fontId="2" fillId="0" borderId="74" xfId="0" applyFont="1" applyFill="1" applyBorder="1" applyAlignment="1">
      <alignment horizontal="right" wrapText="1"/>
    </xf>
    <xf numFmtId="4" fontId="2" fillId="0" borderId="75" xfId="0" applyFont="1" applyFill="1" applyBorder="1" applyAlignment="1">
      <alignment vertical="top" wrapText="1"/>
    </xf>
    <xf numFmtId="4" fontId="2" fillId="0" borderId="0" xfId="0" applyFont="1" applyAlignment="1">
      <alignment horizontal="justify" vertical="center" wrapText="1"/>
    </xf>
    <xf numFmtId="0" fontId="2" fillId="0" borderId="3" xfId="0" quotePrefix="1" applyNumberFormat="1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left" wrapText="1"/>
    </xf>
    <xf numFmtId="4" fontId="0" fillId="0" borderId="0" xfId="0" applyFont="1" applyBorder="1" applyAlignment="1">
      <alignment vertical="top" wrapText="1"/>
    </xf>
    <xf numFmtId="4" fontId="8" fillId="0" borderId="3" xfId="0" applyFont="1" applyFill="1" applyBorder="1" applyAlignment="1">
      <alignment horizontal="right"/>
    </xf>
    <xf numFmtId="4" fontId="8" fillId="0" borderId="3" xfId="0" applyFont="1" applyFill="1" applyBorder="1" applyAlignment="1">
      <alignment vertical="top"/>
    </xf>
    <xf numFmtId="4" fontId="3" fillId="0" borderId="0" xfId="0" applyFont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/>
    </xf>
    <xf numFmtId="2" fontId="2" fillId="0" borderId="0" xfId="0" quotePrefix="1" applyNumberFormat="1" applyFont="1" applyFill="1" applyBorder="1" applyAlignment="1">
      <alignment horizontal="right" wrapText="1"/>
    </xf>
    <xf numFmtId="4" fontId="2" fillId="0" borderId="65" xfId="0" quotePrefix="1" applyNumberFormat="1" applyFont="1" applyFill="1" applyBorder="1" applyAlignment="1">
      <alignment wrapText="1"/>
    </xf>
    <xf numFmtId="4" fontId="2" fillId="0" borderId="65" xfId="0" applyFont="1" applyFill="1" applyBorder="1" applyAlignment="1">
      <alignment horizontal="center" wrapText="1"/>
    </xf>
    <xf numFmtId="4" fontId="2" fillId="0" borderId="24" xfId="0" quotePrefix="1" applyFont="1" applyFill="1" applyBorder="1" applyAlignment="1">
      <alignment wrapText="1"/>
    </xf>
    <xf numFmtId="4" fontId="8" fillId="0" borderId="24" xfId="0" applyFont="1" applyFill="1" applyBorder="1" applyAlignment="1">
      <alignment horizontal="center"/>
    </xf>
    <xf numFmtId="4" fontId="8" fillId="0" borderId="24" xfId="0" applyFont="1" applyFill="1" applyBorder="1" applyAlignment="1">
      <alignment horizontal="right"/>
    </xf>
    <xf numFmtId="4" fontId="2" fillId="0" borderId="24" xfId="0" quotePrefix="1" applyFont="1" applyFill="1" applyBorder="1" applyAlignment="1"/>
    <xf numFmtId="4" fontId="0" fillId="0" borderId="0" xfId="0" applyFont="1">
      <alignment vertical="top" wrapText="1"/>
    </xf>
    <xf numFmtId="4" fontId="2" fillId="0" borderId="76" xfId="0" quotePrefix="1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Font="1" applyFill="1" applyAlignment="1"/>
    <xf numFmtId="4" fontId="15" fillId="0" borderId="23" xfId="0" applyFont="1" applyBorder="1" applyAlignment="1">
      <alignment vertical="top" wrapText="1"/>
    </xf>
    <xf numFmtId="4" fontId="0" fillId="0" borderId="23" xfId="0" applyBorder="1" applyAlignment="1">
      <alignment vertical="top" wrapText="1"/>
    </xf>
    <xf numFmtId="4" fontId="11" fillId="0" borderId="30" xfId="0" applyFont="1" applyFill="1" applyBorder="1" applyAlignment="1">
      <alignment horizontal="center" vertical="center" wrapText="1"/>
    </xf>
    <xf numFmtId="4" fontId="11" fillId="0" borderId="31" xfId="0" applyFont="1" applyFill="1" applyBorder="1" applyAlignment="1">
      <alignment horizontal="center" vertical="center" wrapText="1"/>
    </xf>
    <xf numFmtId="4" fontId="11" fillId="0" borderId="32" xfId="0" applyFont="1" applyFill="1" applyBorder="1" applyAlignment="1">
      <alignment horizontal="center" vertical="center" wrapText="1"/>
    </xf>
    <xf numFmtId="4" fontId="11" fillId="0" borderId="35" xfId="0" applyFont="1" applyFill="1" applyBorder="1" applyAlignment="1">
      <alignment horizontal="center" vertical="top" wrapText="1"/>
    </xf>
    <xf numFmtId="4" fontId="11" fillId="0" borderId="16" xfId="0" applyFont="1" applyFill="1" applyBorder="1" applyAlignment="1">
      <alignment horizontal="center" vertical="top" wrapText="1"/>
    </xf>
    <xf numFmtId="4" fontId="11" fillId="0" borderId="36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33" xfId="0" applyFont="1" applyFill="1" applyBorder="1" applyAlignment="1">
      <alignment horizontal="left" vertical="top"/>
    </xf>
    <xf numFmtId="4" fontId="2" fillId="0" borderId="0" xfId="0" applyFont="1" applyFill="1" applyBorder="1" applyAlignment="1">
      <alignment horizontal="left" vertical="top"/>
    </xf>
    <xf numFmtId="4" fontId="2" fillId="0" borderId="0" xfId="0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41" xfId="0" applyNumberFormat="1" applyFont="1" applyFill="1" applyBorder="1" applyAlignment="1">
      <alignment horizontal="left" vertical="center" wrapText="1"/>
    </xf>
    <xf numFmtId="4" fontId="2" fillId="0" borderId="37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8" xfId="0" applyFont="1" applyFill="1" applyBorder="1" applyAlignment="1">
      <alignment horizontal="center" vertical="center" wrapText="1"/>
    </xf>
    <xf numFmtId="4" fontId="2" fillId="0" borderId="8" xfId="0" applyFont="1" applyFill="1" applyBorder="1" applyAlignment="1">
      <alignment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  <color rgb="FFFF99FF"/>
      <color rgb="FFFFFFCC"/>
      <color rgb="FF9999FF"/>
      <color rgb="FF009900"/>
      <color rgb="FFCCECFF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P2828"/>
  <sheetViews>
    <sheetView showZeros="0" tabSelected="1" view="pageBreakPreview" topLeftCell="A2099" zoomScaleNormal="110" zoomScaleSheetLayoutView="100" workbookViewId="0">
      <selection activeCell="B2033" sqref="B2033"/>
    </sheetView>
  </sheetViews>
  <sheetFormatPr defaultRowHeight="12.75" x14ac:dyDescent="0.2"/>
  <cols>
    <col min="1" max="1" width="9.140625" style="225" customWidth="1"/>
    <col min="2" max="2" width="33" style="8" customWidth="1"/>
    <col min="3" max="3" width="5.7109375" style="8" customWidth="1"/>
    <col min="4" max="4" width="10.85546875" style="337" customWidth="1"/>
    <col min="5" max="5" width="12.7109375" style="8" customWidth="1"/>
    <col min="6" max="6" width="19.140625" style="8" customWidth="1"/>
    <col min="7" max="7" width="18.140625" style="74" customWidth="1"/>
    <col min="8" max="8" width="18.140625" style="8" customWidth="1"/>
    <col min="9" max="9" width="17.42578125" style="8" customWidth="1"/>
    <col min="10" max="10" width="8.7109375" style="8" customWidth="1"/>
    <col min="11" max="11" width="12.5703125" style="8" customWidth="1"/>
    <col min="12" max="12" width="12.28515625" style="8" customWidth="1"/>
    <col min="13" max="13" width="17.85546875" style="8" customWidth="1"/>
    <col min="14" max="16384" width="9.140625" style="8"/>
  </cols>
  <sheetData>
    <row r="1" spans="1:14" s="6" customFormat="1" ht="15" customHeight="1" x14ac:dyDescent="0.2">
      <c r="A1" s="469" t="s">
        <v>1705</v>
      </c>
      <c r="B1" s="470"/>
      <c r="C1" s="470"/>
      <c r="D1" s="470"/>
      <c r="E1" s="470"/>
      <c r="F1" s="471"/>
      <c r="G1" s="137"/>
      <c r="H1" s="5"/>
      <c r="I1" s="7"/>
      <c r="J1" s="7"/>
      <c r="K1" s="7"/>
      <c r="L1" s="7"/>
      <c r="M1" s="8"/>
      <c r="N1" s="8"/>
    </row>
    <row r="2" spans="1:14" s="6" customFormat="1" ht="18" customHeight="1" thickBot="1" x14ac:dyDescent="0.25">
      <c r="A2" s="472" t="s">
        <v>745</v>
      </c>
      <c r="B2" s="473"/>
      <c r="C2" s="473"/>
      <c r="D2" s="473"/>
      <c r="E2" s="473"/>
      <c r="F2" s="474"/>
      <c r="G2" s="137"/>
      <c r="H2" s="5"/>
      <c r="I2" s="7"/>
      <c r="J2" s="7"/>
      <c r="K2" s="7"/>
      <c r="L2" s="7"/>
      <c r="M2" s="8"/>
      <c r="N2" s="8"/>
    </row>
    <row r="3" spans="1:14" ht="39" customHeight="1" thickBot="1" x14ac:dyDescent="0.25">
      <c r="A3" s="481" t="s">
        <v>31</v>
      </c>
      <c r="B3" s="482" t="s">
        <v>34</v>
      </c>
      <c r="C3" s="484" t="s">
        <v>38</v>
      </c>
      <c r="D3" s="316" t="s">
        <v>32</v>
      </c>
      <c r="E3" s="44" t="s">
        <v>291</v>
      </c>
      <c r="F3" s="229" t="s">
        <v>292</v>
      </c>
      <c r="G3" s="185"/>
    </row>
    <row r="4" spans="1:14" ht="26.25" customHeight="1" thickBot="1" x14ac:dyDescent="0.25">
      <c r="A4" s="481"/>
      <c r="B4" s="483"/>
      <c r="C4" s="485"/>
      <c r="D4" s="317" t="s">
        <v>35</v>
      </c>
      <c r="E4" s="45" t="s">
        <v>36</v>
      </c>
      <c r="F4" s="230" t="s">
        <v>37</v>
      </c>
      <c r="G4" s="90"/>
    </row>
    <row r="5" spans="1:14" ht="15.75" thickBot="1" x14ac:dyDescent="0.25">
      <c r="A5" s="231" t="s">
        <v>23</v>
      </c>
      <c r="B5" s="479" t="s">
        <v>43</v>
      </c>
      <c r="C5" s="479"/>
      <c r="D5" s="479"/>
      <c r="E5" s="479"/>
      <c r="F5" s="480"/>
    </row>
    <row r="6" spans="1:14" x14ac:dyDescent="0.2">
      <c r="A6" s="232"/>
      <c r="B6" s="64"/>
      <c r="C6" s="64"/>
      <c r="D6" s="318"/>
      <c r="E6" s="64"/>
      <c r="F6" s="233"/>
    </row>
    <row r="7" spans="1:14" x14ac:dyDescent="0.2">
      <c r="A7" s="234"/>
      <c r="B7" s="61" t="s">
        <v>169</v>
      </c>
      <c r="C7" s="25"/>
      <c r="D7" s="65"/>
      <c r="E7" s="25"/>
      <c r="F7" s="235"/>
    </row>
    <row r="8" spans="1:14" ht="63.75" x14ac:dyDescent="0.2">
      <c r="A8" s="234"/>
      <c r="B8" s="236" t="s">
        <v>262</v>
      </c>
      <c r="C8" s="25"/>
      <c r="D8" s="65"/>
      <c r="E8" s="25"/>
      <c r="F8" s="235"/>
    </row>
    <row r="9" spans="1:14" ht="76.5" x14ac:dyDescent="0.2">
      <c r="A9" s="234"/>
      <c r="B9" s="237" t="s">
        <v>946</v>
      </c>
      <c r="C9" s="25"/>
      <c r="D9" s="65"/>
      <c r="E9" s="25"/>
      <c r="F9" s="235"/>
    </row>
    <row r="10" spans="1:14" ht="25.5" x14ac:dyDescent="0.2">
      <c r="A10" s="238"/>
      <c r="B10" s="75" t="s">
        <v>263</v>
      </c>
      <c r="C10" s="25"/>
      <c r="D10" s="65"/>
      <c r="E10" s="25"/>
      <c r="F10" s="235"/>
    </row>
    <row r="11" spans="1:14" x14ac:dyDescent="0.2">
      <c r="A11" s="238"/>
      <c r="B11" s="75"/>
      <c r="C11" s="25"/>
      <c r="D11" s="65"/>
      <c r="E11" s="25"/>
      <c r="F11" s="235"/>
    </row>
    <row r="12" spans="1:14" ht="51" x14ac:dyDescent="0.2">
      <c r="A12" s="234" t="s">
        <v>11</v>
      </c>
      <c r="B12" s="169" t="s">
        <v>941</v>
      </c>
      <c r="C12" s="25"/>
      <c r="D12" s="65"/>
      <c r="E12" s="25"/>
      <c r="F12" s="235"/>
    </row>
    <row r="13" spans="1:14" ht="63.75" x14ac:dyDescent="0.2">
      <c r="A13" s="238"/>
      <c r="B13" s="169" t="s">
        <v>942</v>
      </c>
      <c r="C13" s="25"/>
      <c r="D13" s="65"/>
      <c r="E13" s="25"/>
      <c r="F13" s="235"/>
    </row>
    <row r="14" spans="1:14" x14ac:dyDescent="0.2">
      <c r="A14" s="238"/>
      <c r="B14" s="75"/>
      <c r="C14" s="25"/>
      <c r="D14" s="65"/>
      <c r="E14" s="25"/>
      <c r="F14" s="235"/>
    </row>
    <row r="15" spans="1:14" x14ac:dyDescent="0.2">
      <c r="A15" s="238"/>
      <c r="B15" s="75" t="s">
        <v>1235</v>
      </c>
      <c r="C15" s="22" t="s">
        <v>41</v>
      </c>
      <c r="D15" s="92">
        <f>0.25*754.3</f>
        <v>188.57499999999999</v>
      </c>
      <c r="E15" s="61"/>
      <c r="F15" s="239">
        <f>D15*E15</f>
        <v>0</v>
      </c>
    </row>
    <row r="16" spans="1:14" x14ac:dyDescent="0.2">
      <c r="A16" s="238"/>
      <c r="B16" s="75"/>
      <c r="C16" s="25"/>
      <c r="D16" s="65"/>
      <c r="E16" s="25"/>
      <c r="F16" s="235"/>
    </row>
    <row r="17" spans="1:7" ht="38.25" x14ac:dyDescent="0.2">
      <c r="A17" s="234" t="s">
        <v>117</v>
      </c>
      <c r="B17" s="166" t="s">
        <v>940</v>
      </c>
      <c r="C17" s="25"/>
      <c r="D17" s="65"/>
      <c r="E17" s="25"/>
      <c r="F17" s="235"/>
    </row>
    <row r="18" spans="1:7" ht="51" x14ac:dyDescent="0.2">
      <c r="A18" s="238"/>
      <c r="B18" s="81" t="s">
        <v>264</v>
      </c>
      <c r="C18" s="25"/>
      <c r="D18" s="65"/>
      <c r="E18" s="25"/>
      <c r="F18" s="235"/>
    </row>
    <row r="19" spans="1:7" ht="51" x14ac:dyDescent="0.2">
      <c r="A19" s="238"/>
      <c r="B19" s="81" t="s">
        <v>265</v>
      </c>
      <c r="C19" s="25"/>
      <c r="D19" s="65"/>
      <c r="E19" s="25"/>
      <c r="F19" s="235"/>
    </row>
    <row r="20" spans="1:7" ht="76.5" customHeight="1" x14ac:dyDescent="0.2">
      <c r="A20" s="234"/>
      <c r="B20" s="81" t="s">
        <v>939</v>
      </c>
      <c r="C20" s="25"/>
      <c r="D20" s="52"/>
      <c r="E20" s="25"/>
      <c r="F20" s="235"/>
    </row>
    <row r="21" spans="1:7" ht="38.25" x14ac:dyDescent="0.2">
      <c r="A21" s="345"/>
      <c r="B21" s="346" t="s">
        <v>945</v>
      </c>
      <c r="C21" s="347"/>
      <c r="D21" s="348"/>
      <c r="E21" s="347"/>
      <c r="F21" s="349"/>
      <c r="G21" s="187"/>
    </row>
    <row r="22" spans="1:7" x14ac:dyDescent="0.2">
      <c r="A22" s="238"/>
      <c r="B22" s="81"/>
      <c r="C22" s="25"/>
      <c r="D22" s="65"/>
      <c r="E22" s="25"/>
      <c r="F22" s="235"/>
      <c r="G22" s="80"/>
    </row>
    <row r="23" spans="1:7" ht="63.75" x14ac:dyDescent="0.2">
      <c r="A23" s="238"/>
      <c r="B23" s="240" t="s">
        <v>943</v>
      </c>
      <c r="C23" s="25"/>
      <c r="D23" s="65"/>
      <c r="E23" s="25"/>
      <c r="F23" s="235"/>
      <c r="G23" s="80"/>
    </row>
    <row r="24" spans="1:7" ht="25.5" x14ac:dyDescent="0.2">
      <c r="A24" s="238"/>
      <c r="B24" s="166" t="s">
        <v>225</v>
      </c>
      <c r="C24" s="25"/>
      <c r="D24" s="65"/>
      <c r="E24" s="25"/>
      <c r="F24" s="235"/>
    </row>
    <row r="25" spans="1:7" ht="38.25" customHeight="1" x14ac:dyDescent="0.2">
      <c r="A25" s="238"/>
      <c r="B25" s="166" t="s">
        <v>944</v>
      </c>
      <c r="C25" s="25"/>
      <c r="D25" s="65"/>
      <c r="E25" s="25"/>
      <c r="F25" s="235"/>
      <c r="G25" s="102"/>
    </row>
    <row r="26" spans="1:7" ht="63.75" x14ac:dyDescent="0.2">
      <c r="A26" s="238"/>
      <c r="B26" s="166" t="s">
        <v>266</v>
      </c>
      <c r="C26" s="25"/>
      <c r="D26" s="65"/>
      <c r="E26" s="25"/>
      <c r="F26" s="235"/>
      <c r="G26" s="448"/>
    </row>
    <row r="27" spans="1:7" ht="51" x14ac:dyDescent="0.2">
      <c r="A27" s="238"/>
      <c r="B27" s="241" t="s">
        <v>268</v>
      </c>
      <c r="C27" s="25"/>
      <c r="D27" s="65"/>
      <c r="E27" s="25"/>
      <c r="F27" s="235"/>
      <c r="G27" s="66"/>
    </row>
    <row r="28" spans="1:7" x14ac:dyDescent="0.2">
      <c r="A28" s="238"/>
      <c r="B28" s="9"/>
      <c r="C28" s="25"/>
      <c r="D28" s="65"/>
      <c r="E28" s="25"/>
      <c r="F28" s="235"/>
      <c r="G28" s="448"/>
    </row>
    <row r="29" spans="1:7" ht="102" x14ac:dyDescent="0.2">
      <c r="A29" s="238"/>
      <c r="B29" s="21" t="s">
        <v>1560</v>
      </c>
      <c r="C29" s="25"/>
      <c r="D29" s="65"/>
      <c r="E29" s="25"/>
      <c r="F29" s="235"/>
      <c r="G29" s="91"/>
    </row>
    <row r="30" spans="1:7" ht="51" x14ac:dyDescent="0.2">
      <c r="A30" s="238"/>
      <c r="B30" s="66" t="s">
        <v>1559</v>
      </c>
      <c r="C30" s="22" t="s">
        <v>41</v>
      </c>
      <c r="D30" s="92">
        <f>1.8*(754.3-0.5*(15.7+19.07+9.34+21+25.5+10+8.45+7.02+23.5+21+9.6+15+12.48+19.5+21+13.44))</f>
        <v>1131.3</v>
      </c>
      <c r="E30" s="23"/>
      <c r="F30" s="242">
        <f>E30*D30</f>
        <v>0</v>
      </c>
      <c r="G30" s="66"/>
    </row>
    <row r="31" spans="1:7" s="74" customFormat="1" x14ac:dyDescent="0.2">
      <c r="A31" s="234"/>
      <c r="B31" s="25"/>
      <c r="C31" s="25"/>
      <c r="D31" s="52"/>
      <c r="E31" s="25"/>
      <c r="F31" s="235"/>
    </row>
    <row r="32" spans="1:7" s="74" customFormat="1" ht="38.25" x14ac:dyDescent="0.2">
      <c r="A32" s="234" t="s">
        <v>220</v>
      </c>
      <c r="B32" s="168" t="s">
        <v>951</v>
      </c>
      <c r="C32" s="25"/>
      <c r="D32" s="52"/>
      <c r="E32" s="25"/>
      <c r="F32" s="235"/>
      <c r="G32" s="188"/>
    </row>
    <row r="33" spans="1:7" s="74" customFormat="1" ht="51" x14ac:dyDescent="0.2">
      <c r="A33" s="234"/>
      <c r="B33" s="91" t="s">
        <v>952</v>
      </c>
      <c r="C33" s="25"/>
      <c r="D33" s="52"/>
      <c r="E33" s="25"/>
      <c r="F33" s="235"/>
      <c r="G33" s="81"/>
    </row>
    <row r="34" spans="1:7" s="74" customFormat="1" ht="38.25" x14ac:dyDescent="0.2">
      <c r="A34" s="339"/>
      <c r="B34" s="346" t="s">
        <v>275</v>
      </c>
      <c r="C34" s="347"/>
      <c r="D34" s="371"/>
      <c r="E34" s="347"/>
      <c r="F34" s="349"/>
    </row>
    <row r="35" spans="1:7" s="74" customFormat="1" x14ac:dyDescent="0.2">
      <c r="A35" s="234"/>
      <c r="B35" s="21"/>
      <c r="C35" s="25"/>
      <c r="D35" s="65"/>
      <c r="E35" s="25"/>
      <c r="F35" s="235"/>
    </row>
    <row r="36" spans="1:7" s="74" customFormat="1" ht="127.5" x14ac:dyDescent="0.2">
      <c r="A36" s="234"/>
      <c r="B36" s="66" t="s">
        <v>947</v>
      </c>
      <c r="C36" s="22" t="s">
        <v>41</v>
      </c>
      <c r="D36" s="92">
        <f>0.91*4.2*3.74+1.1*5.1*3.74+1.05*2.5*3.74+1.43*4.2*5+1.65*5.1*5+2.48*2*5+1.28*4.07*1.72+2.66*4.07*2.07+1.9*5*4.7+2.34*5*4.2+2.25*5*3+2.1*3.6*2.15+1.88*3.9*5+1.52*5*4.2+1.11*(3.2*4.2+3.2*3.9+2.15*3.6+3.2*3)+2.4*1.91*2.92+1.3*4.75*1.82+1.3*2.92*2.01+1.3*1.63*2.01+1.3*2.38*2.12+1.79*2.25/2*(14.9+25.8+8.3+32+14.9+15.8+19.2)</f>
        <v>740.43361100000004</v>
      </c>
      <c r="E36" s="20"/>
      <c r="F36" s="242">
        <f>D36*E36</f>
        <v>0</v>
      </c>
      <c r="G36" s="10"/>
    </row>
    <row r="37" spans="1:7" s="74" customFormat="1" x14ac:dyDescent="0.2">
      <c r="A37" s="234"/>
      <c r="B37" s="26"/>
      <c r="C37" s="25"/>
      <c r="D37" s="52"/>
      <c r="E37" s="25"/>
      <c r="F37" s="235"/>
    </row>
    <row r="38" spans="1:7" ht="51" x14ac:dyDescent="0.2">
      <c r="A38" s="234" t="s">
        <v>193</v>
      </c>
      <c r="B38" s="21" t="s">
        <v>308</v>
      </c>
      <c r="C38" s="21"/>
      <c r="D38" s="23"/>
      <c r="E38" s="25"/>
      <c r="F38" s="235"/>
    </row>
    <row r="39" spans="1:7" ht="25.5" x14ac:dyDescent="0.2">
      <c r="A39" s="234"/>
      <c r="B39" s="21" t="s">
        <v>309</v>
      </c>
      <c r="C39" s="21"/>
      <c r="D39" s="23"/>
      <c r="E39" s="25"/>
      <c r="F39" s="235"/>
    </row>
    <row r="40" spans="1:7" ht="25.5" x14ac:dyDescent="0.2">
      <c r="A40" s="234"/>
      <c r="B40" s="21" t="s">
        <v>269</v>
      </c>
      <c r="C40" s="21"/>
      <c r="D40" s="23"/>
      <c r="E40" s="25"/>
      <c r="F40" s="235"/>
    </row>
    <row r="41" spans="1:7" x14ac:dyDescent="0.2">
      <c r="A41" s="234"/>
      <c r="B41" s="21"/>
      <c r="C41" s="21"/>
      <c r="D41" s="23"/>
      <c r="E41" s="25"/>
      <c r="F41" s="235"/>
    </row>
    <row r="42" spans="1:7" x14ac:dyDescent="0.2">
      <c r="A42" s="234"/>
      <c r="B42" s="24" t="s">
        <v>1561</v>
      </c>
      <c r="C42" s="107" t="s">
        <v>41</v>
      </c>
      <c r="D42" s="24">
        <f>1.2*(1131.3-740.43)</f>
        <v>469.04399999999998</v>
      </c>
      <c r="E42" s="61"/>
      <c r="F42" s="242">
        <f>D42*E42</f>
        <v>0</v>
      </c>
      <c r="G42" s="81"/>
    </row>
    <row r="43" spans="1:7" x14ac:dyDescent="0.2">
      <c r="A43" s="234"/>
      <c r="B43" s="24"/>
      <c r="C43" s="22"/>
      <c r="D43" s="52"/>
      <c r="E43" s="61"/>
      <c r="F43" s="242"/>
      <c r="G43" s="81"/>
    </row>
    <row r="44" spans="1:7" ht="38.25" x14ac:dyDescent="0.2">
      <c r="A44" s="234" t="s">
        <v>226</v>
      </c>
      <c r="B44" s="21" t="s">
        <v>948</v>
      </c>
      <c r="C44" s="22"/>
      <c r="D44" s="52"/>
      <c r="E44" s="61"/>
      <c r="F44" s="242"/>
      <c r="G44" s="81"/>
    </row>
    <row r="45" spans="1:7" ht="25.5" x14ac:dyDescent="0.2">
      <c r="A45" s="234"/>
      <c r="B45" s="236" t="s">
        <v>949</v>
      </c>
      <c r="C45" s="22"/>
      <c r="D45" s="52"/>
      <c r="E45" s="61"/>
      <c r="F45" s="242"/>
      <c r="G45" s="189"/>
    </row>
    <row r="46" spans="1:7" x14ac:dyDescent="0.2">
      <c r="A46" s="234"/>
      <c r="B46" s="21" t="s">
        <v>49</v>
      </c>
      <c r="C46" s="22"/>
      <c r="D46" s="52"/>
      <c r="E46" s="61"/>
      <c r="F46" s="242"/>
      <c r="G46" s="81"/>
    </row>
    <row r="47" spans="1:7" x14ac:dyDescent="0.2">
      <c r="A47" s="234"/>
      <c r="B47" s="21"/>
      <c r="C47" s="22"/>
      <c r="D47" s="65"/>
      <c r="E47" s="61"/>
      <c r="F47" s="242"/>
      <c r="G47" s="81"/>
    </row>
    <row r="48" spans="1:7" x14ac:dyDescent="0.2">
      <c r="A48" s="234"/>
      <c r="B48" s="19" t="s">
        <v>950</v>
      </c>
      <c r="C48" s="22" t="s">
        <v>41</v>
      </c>
      <c r="D48" s="52">
        <f>2.4*1.91*2.92</f>
        <v>13.385279999999998</v>
      </c>
      <c r="E48" s="61"/>
      <c r="F48" s="242">
        <f>D48*E48</f>
        <v>0</v>
      </c>
      <c r="G48" s="81"/>
    </row>
    <row r="49" spans="1:12" x14ac:dyDescent="0.2">
      <c r="A49" s="234"/>
      <c r="B49" s="19"/>
      <c r="C49" s="22"/>
      <c r="D49" s="52"/>
      <c r="E49" s="61"/>
      <c r="F49" s="242"/>
      <c r="G49" s="81"/>
    </row>
    <row r="50" spans="1:12" ht="38.25" x14ac:dyDescent="0.2">
      <c r="A50" s="234" t="s">
        <v>1144</v>
      </c>
      <c r="B50" s="21" t="s">
        <v>1145</v>
      </c>
      <c r="C50" s="22"/>
      <c r="D50" s="52"/>
      <c r="E50" s="61"/>
      <c r="F50" s="242"/>
      <c r="G50" s="81"/>
    </row>
    <row r="51" spans="1:12" ht="25.5" x14ac:dyDescent="0.2">
      <c r="A51" s="234"/>
      <c r="B51" s="138" t="s">
        <v>1146</v>
      </c>
      <c r="C51" s="22"/>
      <c r="D51" s="52"/>
      <c r="E51" s="61"/>
      <c r="F51" s="242"/>
      <c r="G51" s="81"/>
    </row>
    <row r="52" spans="1:12" ht="25.5" x14ac:dyDescent="0.2">
      <c r="A52" s="234"/>
      <c r="B52" s="236" t="s">
        <v>276</v>
      </c>
      <c r="C52" s="22"/>
      <c r="D52" s="52"/>
      <c r="E52" s="61"/>
      <c r="F52" s="242"/>
      <c r="G52" s="81"/>
    </row>
    <row r="53" spans="1:12" x14ac:dyDescent="0.2">
      <c r="A53" s="234"/>
      <c r="B53" s="21" t="s">
        <v>49</v>
      </c>
      <c r="C53" s="22"/>
      <c r="D53" s="52"/>
      <c r="E53" s="61"/>
      <c r="F53" s="242"/>
      <c r="G53" s="81"/>
    </row>
    <row r="54" spans="1:12" x14ac:dyDescent="0.2">
      <c r="A54" s="234"/>
      <c r="B54" s="19"/>
      <c r="C54" s="22"/>
      <c r="D54" s="52"/>
      <c r="E54" s="61"/>
      <c r="F54" s="242"/>
      <c r="G54" s="81"/>
    </row>
    <row r="55" spans="1:12" x14ac:dyDescent="0.2">
      <c r="A55" s="234"/>
      <c r="B55" s="19" t="s">
        <v>1147</v>
      </c>
      <c r="C55" s="22" t="s">
        <v>41</v>
      </c>
      <c r="D55" s="312">
        <f>0.15*50.74</f>
        <v>7.6109999999999998</v>
      </c>
      <c r="E55" s="61"/>
      <c r="F55" s="242">
        <f>D55*E55</f>
        <v>0</v>
      </c>
      <c r="G55" s="81"/>
    </row>
    <row r="56" spans="1:12" x14ac:dyDescent="0.2">
      <c r="A56" s="234"/>
      <c r="B56" s="19"/>
      <c r="C56" s="22"/>
      <c r="D56" s="312"/>
      <c r="E56" s="61"/>
      <c r="F56" s="242"/>
      <c r="G56" s="81"/>
    </row>
    <row r="57" spans="1:12" ht="25.5" x14ac:dyDescent="0.2">
      <c r="A57" s="234" t="s">
        <v>1261</v>
      </c>
      <c r="B57" s="24" t="s">
        <v>1262</v>
      </c>
      <c r="C57" s="22"/>
      <c r="D57" s="312"/>
      <c r="E57" s="61"/>
      <c r="F57" s="242"/>
      <c r="G57" s="81"/>
    </row>
    <row r="58" spans="1:12" ht="25.5" x14ac:dyDescent="0.2">
      <c r="A58" s="234"/>
      <c r="B58" s="24" t="s">
        <v>1263</v>
      </c>
      <c r="C58" s="22"/>
      <c r="D58" s="312"/>
      <c r="E58" s="61"/>
      <c r="F58" s="242"/>
      <c r="G58" s="81"/>
    </row>
    <row r="59" spans="1:12" x14ac:dyDescent="0.2">
      <c r="A59" s="234"/>
      <c r="B59" s="21" t="s">
        <v>49</v>
      </c>
      <c r="C59" s="22"/>
      <c r="D59" s="312"/>
      <c r="E59" s="61"/>
      <c r="F59" s="242"/>
      <c r="G59" s="81"/>
    </row>
    <row r="60" spans="1:12" x14ac:dyDescent="0.2">
      <c r="A60" s="234"/>
      <c r="B60" s="19"/>
      <c r="C60" s="22"/>
      <c r="D60" s="312"/>
      <c r="E60" s="61"/>
      <c r="F60" s="242"/>
      <c r="G60" s="81"/>
    </row>
    <row r="61" spans="1:12" ht="25.5" x14ac:dyDescent="0.2">
      <c r="A61" s="234"/>
      <c r="B61" s="24" t="s">
        <v>1264</v>
      </c>
      <c r="C61" s="22" t="s">
        <v>41</v>
      </c>
      <c r="D61" s="52">
        <f>0.5*1.5*(5.78+5.15+2.15+4.9+6.38+3+6.35+5.78)</f>
        <v>29.6175</v>
      </c>
      <c r="E61" s="61"/>
      <c r="F61" s="242">
        <f>D61*E61</f>
        <v>0</v>
      </c>
      <c r="G61" s="81"/>
    </row>
    <row r="62" spans="1:12" ht="13.5" thickBot="1" x14ac:dyDescent="0.25">
      <c r="A62" s="234"/>
      <c r="B62" s="19"/>
      <c r="C62" s="22"/>
      <c r="D62" s="52"/>
      <c r="E62" s="61"/>
      <c r="F62" s="242"/>
      <c r="G62" s="81"/>
    </row>
    <row r="63" spans="1:12" s="2" customFormat="1" ht="15.95" customHeight="1" thickBot="1" x14ac:dyDescent="0.25">
      <c r="A63" s="243" t="str">
        <f>A5</f>
        <v>1.</v>
      </c>
      <c r="B63" s="46" t="s">
        <v>10</v>
      </c>
      <c r="C63" s="47"/>
      <c r="D63" s="319"/>
      <c r="E63" s="48"/>
      <c r="F63" s="244">
        <f>SUM(F6:F62)</f>
        <v>0</v>
      </c>
      <c r="G63" s="190"/>
      <c r="H63" s="4"/>
      <c r="I63" s="3"/>
      <c r="J63" s="3"/>
      <c r="K63" s="3"/>
      <c r="L63" s="3"/>
    </row>
    <row r="64" spans="1:12" s="2" customFormat="1" ht="15.95" customHeight="1" thickBot="1" x14ac:dyDescent="0.25">
      <c r="A64" s="245" t="s">
        <v>24</v>
      </c>
      <c r="B64" s="46" t="s">
        <v>50</v>
      </c>
      <c r="C64" s="47"/>
      <c r="D64" s="319"/>
      <c r="E64" s="56"/>
      <c r="F64" s="246"/>
      <c r="G64" s="190"/>
      <c r="H64" s="4"/>
      <c r="I64" s="3"/>
      <c r="J64" s="3"/>
      <c r="K64" s="3"/>
      <c r="L64" s="3"/>
    </row>
    <row r="65" spans="1:7" x14ac:dyDescent="0.2">
      <c r="A65" s="234"/>
      <c r="B65" s="25"/>
      <c r="C65" s="25"/>
      <c r="D65" s="65"/>
      <c r="E65" s="64"/>
      <c r="F65" s="235"/>
    </row>
    <row r="66" spans="1:7" x14ac:dyDescent="0.2">
      <c r="A66" s="234"/>
      <c r="B66" s="25" t="s">
        <v>62</v>
      </c>
      <c r="C66" s="25"/>
      <c r="D66" s="65"/>
      <c r="E66" s="25"/>
      <c r="F66" s="235"/>
    </row>
    <row r="67" spans="1:7" ht="89.25" x14ac:dyDescent="0.2">
      <c r="A67" s="234"/>
      <c r="B67" s="25" t="s">
        <v>310</v>
      </c>
      <c r="C67" s="25"/>
      <c r="D67" s="65"/>
      <c r="E67" s="25"/>
      <c r="F67" s="235"/>
    </row>
    <row r="68" spans="1:7" ht="51" x14ac:dyDescent="0.2">
      <c r="A68" s="234"/>
      <c r="B68" s="25" t="s">
        <v>311</v>
      </c>
      <c r="C68" s="25"/>
      <c r="D68" s="65"/>
      <c r="E68" s="25"/>
      <c r="F68" s="235"/>
    </row>
    <row r="69" spans="1:7" x14ac:dyDescent="0.2">
      <c r="A69" s="234"/>
      <c r="B69" s="25"/>
      <c r="C69" s="25"/>
      <c r="D69" s="65"/>
      <c r="E69" s="25"/>
      <c r="F69" s="235"/>
    </row>
    <row r="70" spans="1:7" ht="38.25" x14ac:dyDescent="0.2">
      <c r="A70" s="234" t="s">
        <v>7</v>
      </c>
      <c r="B70" s="74" t="s">
        <v>360</v>
      </c>
      <c r="C70" s="25"/>
      <c r="D70" s="65"/>
      <c r="E70" s="25"/>
      <c r="F70" s="235"/>
    </row>
    <row r="71" spans="1:7" ht="25.5" x14ac:dyDescent="0.2">
      <c r="A71" s="234"/>
      <c r="B71" s="74" t="s">
        <v>953</v>
      </c>
      <c r="C71" s="25"/>
      <c r="D71" s="65"/>
      <c r="E71" s="25"/>
      <c r="F71" s="235"/>
    </row>
    <row r="72" spans="1:7" x14ac:dyDescent="0.2">
      <c r="A72" s="234"/>
      <c r="B72" s="168" t="s">
        <v>42</v>
      </c>
      <c r="C72" s="25"/>
      <c r="D72" s="65"/>
      <c r="E72" s="25"/>
      <c r="F72" s="235"/>
    </row>
    <row r="73" spans="1:7" x14ac:dyDescent="0.2">
      <c r="A73" s="234"/>
      <c r="B73" s="74"/>
      <c r="C73" s="25"/>
      <c r="D73" s="65"/>
      <c r="E73" s="25"/>
      <c r="F73" s="235"/>
    </row>
    <row r="74" spans="1:7" ht="51" x14ac:dyDescent="0.2">
      <c r="A74" s="234"/>
      <c r="B74" s="66" t="s">
        <v>954</v>
      </c>
      <c r="C74" s="62" t="s">
        <v>39</v>
      </c>
      <c r="D74" s="92">
        <f>754.3-(13.44+21+12.48+19.5+15+9.6+21+9.34+19.03+15.7+21+25.5+10+8.45+7+23.5+21)</f>
        <v>481.76</v>
      </c>
      <c r="E74" s="20"/>
      <c r="F74" s="242">
        <f>D74*E74</f>
        <v>0</v>
      </c>
    </row>
    <row r="75" spans="1:7" x14ac:dyDescent="0.2">
      <c r="A75" s="234"/>
      <c r="B75" s="66"/>
      <c r="C75" s="62"/>
      <c r="D75" s="65"/>
      <c r="E75" s="20"/>
      <c r="F75" s="242"/>
      <c r="G75" s="10"/>
    </row>
    <row r="76" spans="1:7" ht="38.25" x14ac:dyDescent="0.2">
      <c r="A76" s="234" t="s">
        <v>8</v>
      </c>
      <c r="B76" s="74" t="s">
        <v>1607</v>
      </c>
      <c r="C76" s="25"/>
      <c r="D76" s="65"/>
      <c r="E76" s="25"/>
      <c r="F76" s="235"/>
    </row>
    <row r="77" spans="1:7" ht="38.25" x14ac:dyDescent="0.2">
      <c r="A77" s="234"/>
      <c r="B77" s="74" t="s">
        <v>361</v>
      </c>
      <c r="C77" s="25"/>
      <c r="D77" s="65"/>
      <c r="E77" s="25"/>
      <c r="F77" s="235"/>
    </row>
    <row r="78" spans="1:7" ht="38.25" x14ac:dyDescent="0.2">
      <c r="A78" s="234"/>
      <c r="B78" s="74" t="s">
        <v>362</v>
      </c>
      <c r="C78" s="25"/>
      <c r="D78" s="65"/>
      <c r="E78" s="25"/>
      <c r="F78" s="235"/>
    </row>
    <row r="79" spans="1:7" ht="25.5" x14ac:dyDescent="0.2">
      <c r="A79" s="234"/>
      <c r="B79" s="74" t="s">
        <v>363</v>
      </c>
      <c r="C79" s="25"/>
      <c r="D79" s="65"/>
      <c r="E79" s="25"/>
      <c r="F79" s="235"/>
    </row>
    <row r="80" spans="1:7" ht="38.25" x14ac:dyDescent="0.2">
      <c r="A80" s="234"/>
      <c r="B80" s="74" t="s">
        <v>364</v>
      </c>
      <c r="C80" s="25"/>
      <c r="D80" s="65"/>
      <c r="E80" s="25"/>
      <c r="F80" s="235"/>
    </row>
    <row r="81" spans="1:7" x14ac:dyDescent="0.2">
      <c r="A81" s="234"/>
      <c r="B81" s="168" t="s">
        <v>42</v>
      </c>
      <c r="C81" s="62"/>
      <c r="D81" s="29"/>
      <c r="E81" s="20"/>
      <c r="F81" s="242"/>
    </row>
    <row r="82" spans="1:7" x14ac:dyDescent="0.2">
      <c r="A82" s="234"/>
      <c r="B82" s="74"/>
      <c r="C82" s="25"/>
      <c r="D82" s="65"/>
      <c r="E82" s="25"/>
      <c r="F82" s="235"/>
    </row>
    <row r="83" spans="1:7" x14ac:dyDescent="0.2">
      <c r="A83" s="247" t="s">
        <v>177</v>
      </c>
      <c r="B83" s="74" t="s">
        <v>1281</v>
      </c>
      <c r="C83" s="62" t="s">
        <v>39</v>
      </c>
      <c r="D83" s="29">
        <f>15.7+47.53</f>
        <v>63.230000000000004</v>
      </c>
      <c r="E83" s="20"/>
      <c r="F83" s="242">
        <f>D83*E83</f>
        <v>0</v>
      </c>
    </row>
    <row r="84" spans="1:7" x14ac:dyDescent="0.2">
      <c r="A84" s="234"/>
      <c r="B84" s="74"/>
      <c r="C84" s="25"/>
      <c r="D84" s="65"/>
      <c r="E84" s="25"/>
      <c r="F84" s="235"/>
    </row>
    <row r="85" spans="1:7" x14ac:dyDescent="0.2">
      <c r="A85" s="247" t="s">
        <v>178</v>
      </c>
      <c r="B85" s="74" t="s">
        <v>1282</v>
      </c>
      <c r="C85" s="62" t="s">
        <v>39</v>
      </c>
      <c r="D85" s="29">
        <f>1.15*0.85</f>
        <v>0.97749999999999992</v>
      </c>
      <c r="E85" s="20"/>
      <c r="F85" s="242">
        <f>D85*E85</f>
        <v>0</v>
      </c>
    </row>
    <row r="86" spans="1:7" x14ac:dyDescent="0.2">
      <c r="A86" s="234"/>
      <c r="B86" s="74"/>
      <c r="C86" s="25"/>
      <c r="D86" s="65"/>
      <c r="E86" s="25"/>
      <c r="F86" s="235"/>
    </row>
    <row r="87" spans="1:7" x14ac:dyDescent="0.2">
      <c r="A87" s="247" t="s">
        <v>1555</v>
      </c>
      <c r="B87" s="74" t="s">
        <v>1556</v>
      </c>
      <c r="C87" s="25"/>
      <c r="D87" s="65"/>
      <c r="E87" s="25"/>
      <c r="F87" s="235"/>
    </row>
    <row r="88" spans="1:7" x14ac:dyDescent="0.2">
      <c r="A88" s="339"/>
      <c r="B88" s="350" t="s">
        <v>1557</v>
      </c>
      <c r="C88" s="341" t="s">
        <v>39</v>
      </c>
      <c r="D88" s="351">
        <f>1.625*(5.77+14.6+28.8)</f>
        <v>79.901250000000005</v>
      </c>
      <c r="E88" s="352"/>
      <c r="F88" s="353">
        <f>D88*E88</f>
        <v>0</v>
      </c>
    </row>
    <row r="89" spans="1:7" x14ac:dyDescent="0.2">
      <c r="A89" s="234"/>
      <c r="B89" s="74"/>
      <c r="C89" s="25"/>
      <c r="D89" s="65"/>
      <c r="E89" s="25"/>
      <c r="F89" s="235"/>
    </row>
    <row r="90" spans="1:7" ht="38.25" x14ac:dyDescent="0.2">
      <c r="A90" s="234" t="s">
        <v>227</v>
      </c>
      <c r="B90" s="74" t="s">
        <v>365</v>
      </c>
      <c r="C90" s="25"/>
      <c r="D90" s="65"/>
      <c r="E90" s="25"/>
      <c r="F90" s="235"/>
    </row>
    <row r="91" spans="1:7" ht="38.25" x14ac:dyDescent="0.2">
      <c r="A91" s="234"/>
      <c r="B91" s="74" t="s">
        <v>366</v>
      </c>
      <c r="C91" s="25"/>
      <c r="D91" s="65"/>
      <c r="E91" s="25"/>
      <c r="F91" s="235"/>
    </row>
    <row r="92" spans="1:7" x14ac:dyDescent="0.2">
      <c r="A92" s="234"/>
      <c r="B92" s="168" t="s">
        <v>42</v>
      </c>
      <c r="C92" s="62" t="s">
        <v>39</v>
      </c>
      <c r="D92" s="29">
        <f>15.7+47.53</f>
        <v>63.230000000000004</v>
      </c>
      <c r="E92" s="20"/>
      <c r="F92" s="242">
        <f>D92*E92</f>
        <v>0</v>
      </c>
    </row>
    <row r="93" spans="1:7" x14ac:dyDescent="0.2">
      <c r="A93" s="234"/>
      <c r="B93" s="74"/>
      <c r="C93" s="25"/>
      <c r="D93" s="65"/>
      <c r="E93" s="25"/>
      <c r="F93" s="235"/>
    </row>
    <row r="94" spans="1:7" ht="38.25" x14ac:dyDescent="0.2">
      <c r="A94" s="234" t="s">
        <v>138</v>
      </c>
      <c r="B94" s="74" t="s">
        <v>955</v>
      </c>
      <c r="C94" s="25"/>
      <c r="D94" s="65"/>
      <c r="E94" s="25"/>
      <c r="F94" s="235"/>
      <c r="G94" s="120"/>
    </row>
    <row r="95" spans="1:7" ht="38.25" x14ac:dyDescent="0.2">
      <c r="A95" s="234"/>
      <c r="B95" s="74" t="s">
        <v>956</v>
      </c>
      <c r="C95" s="25"/>
      <c r="D95" s="65"/>
      <c r="E95" s="25"/>
      <c r="F95" s="235"/>
      <c r="G95" s="120"/>
    </row>
    <row r="96" spans="1:7" ht="25.5" x14ac:dyDescent="0.2">
      <c r="A96" s="234"/>
      <c r="B96" s="223" t="s">
        <v>307</v>
      </c>
      <c r="C96" s="25"/>
      <c r="D96" s="65"/>
      <c r="E96" s="25"/>
      <c r="F96" s="235"/>
      <c r="G96" s="223"/>
    </row>
    <row r="97" spans="1:7" x14ac:dyDescent="0.2">
      <c r="A97" s="234"/>
      <c r="B97" s="168" t="s">
        <v>49</v>
      </c>
      <c r="C97" s="25"/>
      <c r="D97" s="65"/>
      <c r="E97" s="25"/>
      <c r="F97" s="235"/>
      <c r="G97" s="114"/>
    </row>
    <row r="98" spans="1:7" x14ac:dyDescent="0.2">
      <c r="A98" s="234"/>
      <c r="B98" s="10"/>
      <c r="C98" s="25"/>
      <c r="D98" s="65"/>
      <c r="E98" s="25"/>
      <c r="F98" s="235"/>
      <c r="G98" s="10"/>
    </row>
    <row r="99" spans="1:7" x14ac:dyDescent="0.2">
      <c r="A99" s="234"/>
      <c r="B99" s="66" t="s">
        <v>984</v>
      </c>
      <c r="C99" s="62" t="s">
        <v>41</v>
      </c>
      <c r="D99" s="92">
        <f>0.3*2.11*2.92</f>
        <v>1.8483599999999996</v>
      </c>
      <c r="E99" s="20"/>
      <c r="F99" s="242">
        <f>D99*E99</f>
        <v>0</v>
      </c>
      <c r="G99" s="74">
        <f>110*D99</f>
        <v>203.31959999999995</v>
      </c>
    </row>
    <row r="100" spans="1:7" x14ac:dyDescent="0.2">
      <c r="A100" s="234"/>
      <c r="B100" s="74"/>
      <c r="C100" s="25"/>
      <c r="D100" s="65"/>
      <c r="E100" s="25"/>
      <c r="F100" s="235"/>
    </row>
    <row r="101" spans="1:7" ht="76.5" x14ac:dyDescent="0.2">
      <c r="A101" s="234" t="s">
        <v>139</v>
      </c>
      <c r="B101" s="25" t="s">
        <v>985</v>
      </c>
      <c r="C101" s="25"/>
      <c r="D101" s="65"/>
      <c r="E101" s="25"/>
      <c r="F101" s="235"/>
    </row>
    <row r="102" spans="1:7" ht="38.25" x14ac:dyDescent="0.2">
      <c r="A102" s="234"/>
      <c r="B102" s="74" t="s">
        <v>988</v>
      </c>
      <c r="C102" s="25"/>
      <c r="D102" s="65"/>
      <c r="E102" s="25"/>
      <c r="F102" s="235"/>
    </row>
    <row r="103" spans="1:7" x14ac:dyDescent="0.2">
      <c r="A103" s="234"/>
      <c r="B103" s="74" t="s">
        <v>367</v>
      </c>
      <c r="C103" s="25"/>
      <c r="D103" s="65"/>
      <c r="E103" s="25"/>
      <c r="F103" s="235"/>
    </row>
    <row r="104" spans="1:7" ht="25.5" x14ac:dyDescent="0.2">
      <c r="A104" s="234"/>
      <c r="B104" s="223" t="s">
        <v>307</v>
      </c>
      <c r="C104" s="96"/>
      <c r="D104" s="29"/>
      <c r="E104" s="25"/>
      <c r="F104" s="235"/>
    </row>
    <row r="105" spans="1:7" ht="25.5" x14ac:dyDescent="0.2">
      <c r="A105" s="234"/>
      <c r="B105" s="124" t="s">
        <v>339</v>
      </c>
      <c r="C105" s="25"/>
      <c r="D105" s="65"/>
      <c r="E105" s="25"/>
      <c r="F105" s="235"/>
    </row>
    <row r="106" spans="1:7" x14ac:dyDescent="0.2">
      <c r="A106" s="234"/>
      <c r="B106" s="124"/>
      <c r="C106" s="25"/>
      <c r="D106" s="65"/>
      <c r="E106" s="25"/>
      <c r="F106" s="235"/>
    </row>
    <row r="107" spans="1:7" x14ac:dyDescent="0.2">
      <c r="A107" s="247" t="s">
        <v>140</v>
      </c>
      <c r="B107" s="124" t="s">
        <v>986</v>
      </c>
      <c r="C107" s="25"/>
      <c r="D107" s="65"/>
      <c r="E107" s="25"/>
      <c r="F107" s="235"/>
    </row>
    <row r="108" spans="1:7" x14ac:dyDescent="0.2">
      <c r="A108" s="234"/>
      <c r="B108" s="449" t="s">
        <v>1236</v>
      </c>
      <c r="C108" s="62" t="s">
        <v>41</v>
      </c>
      <c r="D108" s="331">
        <f>(14.37+107.9)*0.4</f>
        <v>48.908000000000008</v>
      </c>
      <c r="E108" s="20"/>
      <c r="F108" s="242">
        <f>D108*E108</f>
        <v>0</v>
      </c>
      <c r="G108" s="74">
        <f>110*D108</f>
        <v>5379.880000000001</v>
      </c>
    </row>
    <row r="109" spans="1:7" x14ac:dyDescent="0.2">
      <c r="A109" s="234"/>
      <c r="B109" s="124"/>
      <c r="C109" s="25"/>
      <c r="D109" s="65"/>
      <c r="E109" s="25"/>
      <c r="F109" s="235"/>
    </row>
    <row r="110" spans="1:7" x14ac:dyDescent="0.2">
      <c r="A110" s="248" t="s">
        <v>141</v>
      </c>
      <c r="B110" s="124" t="s">
        <v>987</v>
      </c>
      <c r="C110" s="25"/>
      <c r="D110" s="65"/>
      <c r="E110" s="25"/>
      <c r="F110" s="235"/>
    </row>
    <row r="111" spans="1:7" ht="51" x14ac:dyDescent="0.2">
      <c r="A111" s="339"/>
      <c r="B111" s="350" t="s">
        <v>989</v>
      </c>
      <c r="C111" s="341" t="s">
        <v>41</v>
      </c>
      <c r="D111" s="374">
        <f>0.4*(754.3-(13.44+21+12.48+19.5+15+9.6+21+9.34+19.03+15.7+21+25.5+10+8.45+7+23.5+21))</f>
        <v>192.70400000000001</v>
      </c>
      <c r="E111" s="352"/>
      <c r="F111" s="353">
        <f>D111*E111</f>
        <v>0</v>
      </c>
      <c r="G111" s="74">
        <f>110*D111</f>
        <v>21197.440000000002</v>
      </c>
    </row>
    <row r="112" spans="1:7" x14ac:dyDescent="0.2">
      <c r="A112" s="234"/>
      <c r="B112" s="74"/>
      <c r="C112" s="25"/>
      <c r="D112" s="65"/>
      <c r="E112" s="25"/>
      <c r="F112" s="235"/>
    </row>
    <row r="113" spans="1:7" ht="63.75" x14ac:dyDescent="0.2">
      <c r="A113" s="234" t="s">
        <v>87</v>
      </c>
      <c r="B113" s="25" t="s">
        <v>340</v>
      </c>
      <c r="C113" s="25"/>
      <c r="D113" s="65"/>
      <c r="E113" s="25"/>
      <c r="F113" s="235"/>
    </row>
    <row r="114" spans="1:7" x14ac:dyDescent="0.2">
      <c r="A114" s="234"/>
      <c r="B114" s="74" t="s">
        <v>367</v>
      </c>
      <c r="C114" s="25"/>
      <c r="D114" s="65"/>
      <c r="E114" s="25"/>
      <c r="F114" s="235"/>
    </row>
    <row r="115" spans="1:7" ht="25.5" x14ac:dyDescent="0.2">
      <c r="A115" s="234"/>
      <c r="B115" s="223" t="s">
        <v>307</v>
      </c>
      <c r="C115" s="96"/>
      <c r="D115" s="29"/>
      <c r="E115" s="25"/>
      <c r="F115" s="235"/>
    </row>
    <row r="116" spans="1:7" ht="38.25" x14ac:dyDescent="0.2">
      <c r="A116" s="234"/>
      <c r="B116" s="124" t="s">
        <v>312</v>
      </c>
      <c r="C116" s="25"/>
      <c r="D116" s="65"/>
      <c r="E116" s="25"/>
      <c r="F116" s="235"/>
    </row>
    <row r="117" spans="1:7" x14ac:dyDescent="0.2">
      <c r="A117" s="247"/>
      <c r="B117" s="25"/>
      <c r="C117" s="25"/>
      <c r="D117" s="65"/>
      <c r="E117" s="25"/>
      <c r="F117" s="235"/>
    </row>
    <row r="118" spans="1:7" ht="51" x14ac:dyDescent="0.2">
      <c r="A118" s="234"/>
      <c r="B118" s="26" t="s">
        <v>990</v>
      </c>
      <c r="C118" s="62" t="s">
        <v>41</v>
      </c>
      <c r="D118" s="29">
        <f>0.25*3.92*(19.02+6.27*3+4.55*3+8.35+20.62+8.02+13.1+6.52)+0.25*3.12*1.72*6+0.25*2.62*1.25*6+0.25*2.12*1.25*6</f>
        <v>122.86529999999998</v>
      </c>
      <c r="E118" s="20"/>
      <c r="F118" s="242">
        <f>D118*E118</f>
        <v>0</v>
      </c>
      <c r="G118" s="74">
        <f>75*D118</f>
        <v>9214.8974999999991</v>
      </c>
    </row>
    <row r="119" spans="1:7" x14ac:dyDescent="0.2">
      <c r="A119" s="234"/>
      <c r="B119" s="74"/>
      <c r="C119" s="25"/>
      <c r="D119" s="65"/>
      <c r="E119" s="25"/>
      <c r="F119" s="235"/>
    </row>
    <row r="120" spans="1:7" ht="63.75" x14ac:dyDescent="0.2">
      <c r="A120" s="234" t="s">
        <v>142</v>
      </c>
      <c r="B120" s="25" t="s">
        <v>341</v>
      </c>
      <c r="C120" s="25"/>
      <c r="D120" s="65"/>
      <c r="E120" s="25"/>
      <c r="F120" s="235"/>
    </row>
    <row r="121" spans="1:7" x14ac:dyDescent="0.2">
      <c r="A121" s="234"/>
      <c r="B121" s="74" t="s">
        <v>367</v>
      </c>
      <c r="C121" s="25"/>
      <c r="D121" s="65"/>
      <c r="E121" s="25"/>
      <c r="F121" s="235"/>
    </row>
    <row r="122" spans="1:7" ht="25.5" x14ac:dyDescent="0.2">
      <c r="A122" s="234"/>
      <c r="B122" s="223" t="s">
        <v>307</v>
      </c>
      <c r="C122" s="96"/>
      <c r="D122" s="29"/>
      <c r="E122" s="25"/>
      <c r="F122" s="235"/>
    </row>
    <row r="123" spans="1:7" ht="38.25" x14ac:dyDescent="0.2">
      <c r="A123" s="234"/>
      <c r="B123" s="124" t="s">
        <v>312</v>
      </c>
      <c r="C123" s="25"/>
      <c r="D123" s="65"/>
      <c r="E123" s="25"/>
      <c r="F123" s="235"/>
    </row>
    <row r="124" spans="1:7" x14ac:dyDescent="0.2">
      <c r="A124" s="247"/>
      <c r="B124" s="25"/>
      <c r="C124" s="25"/>
      <c r="D124" s="65"/>
      <c r="E124" s="25"/>
      <c r="F124" s="235"/>
    </row>
    <row r="125" spans="1:7" ht="63.75" x14ac:dyDescent="0.2">
      <c r="A125" s="234"/>
      <c r="B125" s="26" t="s">
        <v>991</v>
      </c>
      <c r="C125" s="62" t="s">
        <v>41</v>
      </c>
      <c r="D125" s="29">
        <f>0.2*3.92*(14.9+4.95*2+6.72*2+9.73+15.6+8.5+4.94+21.65+6.72+4.07+2.52)+0.2*3.12*1.72*2+0.2*2.62*1.25*2+0.2*2.12*1.25*2+0.2*1.35*(6.02+4.9+14.02)+0.2*1.53*4.07</f>
        <v>100.28025999999998</v>
      </c>
      <c r="E125" s="20"/>
      <c r="F125" s="242">
        <f>D125*E125</f>
        <v>0</v>
      </c>
      <c r="G125" s="74">
        <f>75*D125</f>
        <v>7521.0194999999985</v>
      </c>
    </row>
    <row r="126" spans="1:7" x14ac:dyDescent="0.2">
      <c r="A126" s="234"/>
      <c r="B126" s="74"/>
      <c r="C126" s="25"/>
      <c r="D126" s="65"/>
      <c r="E126" s="25"/>
      <c r="F126" s="235"/>
    </row>
    <row r="127" spans="1:7" ht="63.75" x14ac:dyDescent="0.2">
      <c r="A127" s="234" t="s">
        <v>143</v>
      </c>
      <c r="B127" s="25" t="s">
        <v>342</v>
      </c>
      <c r="C127" s="25"/>
      <c r="D127" s="65"/>
      <c r="E127" s="25"/>
      <c r="F127" s="235"/>
      <c r="G127" s="74">
        <f>75*D127</f>
        <v>0</v>
      </c>
    </row>
    <row r="128" spans="1:7" ht="25.5" x14ac:dyDescent="0.2">
      <c r="A128" s="234"/>
      <c r="B128" s="223" t="s">
        <v>307</v>
      </c>
      <c r="C128" s="96"/>
      <c r="D128" s="29"/>
      <c r="E128" s="25"/>
      <c r="F128" s="235"/>
    </row>
    <row r="129" spans="1:7" ht="38.25" x14ac:dyDescent="0.2">
      <c r="A129" s="234"/>
      <c r="B129" s="124" t="s">
        <v>312</v>
      </c>
      <c r="C129" s="25"/>
      <c r="D129" s="65"/>
      <c r="E129" s="25"/>
      <c r="F129" s="235"/>
    </row>
    <row r="130" spans="1:7" x14ac:dyDescent="0.2">
      <c r="A130" s="247"/>
      <c r="B130" s="25"/>
      <c r="C130" s="25"/>
      <c r="D130" s="65"/>
      <c r="E130" s="25"/>
      <c r="F130" s="235"/>
    </row>
    <row r="131" spans="1:7" x14ac:dyDescent="0.2">
      <c r="A131" s="339"/>
      <c r="B131" s="354" t="s">
        <v>992</v>
      </c>
      <c r="C131" s="341" t="s">
        <v>41</v>
      </c>
      <c r="D131" s="342">
        <f>0.16*3.92*(2.92+0.75*2+2.6+2.11*2)</f>
        <v>7.0497279999999991</v>
      </c>
      <c r="E131" s="352"/>
      <c r="F131" s="353">
        <f>D131*E131</f>
        <v>0</v>
      </c>
      <c r="G131" s="74">
        <f>75*D131</f>
        <v>528.72959999999989</v>
      </c>
    </row>
    <row r="132" spans="1:7" x14ac:dyDescent="0.2">
      <c r="A132" s="234"/>
      <c r="B132" s="25"/>
      <c r="C132" s="25"/>
      <c r="D132" s="65"/>
      <c r="E132" s="25"/>
      <c r="F132" s="235"/>
    </row>
    <row r="133" spans="1:7" ht="63.75" x14ac:dyDescent="0.2">
      <c r="A133" s="234" t="s">
        <v>75</v>
      </c>
      <c r="B133" s="25" t="s">
        <v>337</v>
      </c>
      <c r="C133" s="25"/>
      <c r="D133" s="65"/>
      <c r="E133" s="25"/>
      <c r="F133" s="235"/>
    </row>
    <row r="134" spans="1:7" ht="25.5" x14ac:dyDescent="0.2">
      <c r="A134" s="234"/>
      <c r="B134" s="223" t="s">
        <v>307</v>
      </c>
      <c r="C134" s="96"/>
      <c r="D134" s="29"/>
      <c r="E134" s="25"/>
      <c r="F134" s="235"/>
    </row>
    <row r="135" spans="1:7" ht="38.25" customHeight="1" x14ac:dyDescent="0.2">
      <c r="A135" s="234"/>
      <c r="B135" s="30" t="s">
        <v>343</v>
      </c>
      <c r="C135" s="25"/>
      <c r="D135" s="65"/>
      <c r="E135" s="25"/>
      <c r="F135" s="235"/>
    </row>
    <row r="136" spans="1:7" x14ac:dyDescent="0.2">
      <c r="A136" s="234"/>
      <c r="B136" s="31"/>
      <c r="C136" s="17"/>
      <c r="D136" s="52"/>
      <c r="E136" s="18"/>
      <c r="F136" s="249"/>
    </row>
    <row r="137" spans="1:7" x14ac:dyDescent="0.2">
      <c r="A137" s="234"/>
      <c r="B137" s="31" t="s">
        <v>1237</v>
      </c>
      <c r="C137" s="17"/>
      <c r="D137" s="52"/>
      <c r="E137" s="18"/>
      <c r="F137" s="249"/>
    </row>
    <row r="138" spans="1:7" x14ac:dyDescent="0.2">
      <c r="A138" s="234"/>
      <c r="B138" s="31" t="s">
        <v>1240</v>
      </c>
      <c r="C138" s="17"/>
      <c r="D138" s="52">
        <f>0.15*1.3*(5.15+6.54+3.07+4.7)</f>
        <v>3.7947000000000002</v>
      </c>
      <c r="E138" s="18"/>
      <c r="F138" s="249"/>
    </row>
    <row r="139" spans="1:7" x14ac:dyDescent="0.2">
      <c r="A139" s="234"/>
      <c r="B139" s="31"/>
      <c r="C139" s="17"/>
      <c r="D139" s="52"/>
      <c r="E139" s="18"/>
      <c r="F139" s="249"/>
    </row>
    <row r="140" spans="1:7" x14ac:dyDescent="0.2">
      <c r="A140" s="234"/>
      <c r="B140" s="31" t="s">
        <v>1238</v>
      </c>
      <c r="C140" s="17"/>
      <c r="D140" s="52"/>
      <c r="E140" s="18"/>
      <c r="F140" s="249"/>
    </row>
    <row r="141" spans="1:7" x14ac:dyDescent="0.2">
      <c r="A141" s="234"/>
      <c r="B141" s="31" t="s">
        <v>1241</v>
      </c>
      <c r="C141" s="17"/>
      <c r="D141" s="52">
        <f>0.15*1.3*(3.95*2+3.1*2)</f>
        <v>2.7495000000000003</v>
      </c>
      <c r="E141" s="18"/>
      <c r="F141" s="249"/>
    </row>
    <row r="142" spans="1:7" x14ac:dyDescent="0.2">
      <c r="A142" s="234"/>
      <c r="B142" s="31"/>
      <c r="C142" s="17"/>
      <c r="D142" s="52"/>
      <c r="E142" s="18"/>
      <c r="F142" s="249"/>
    </row>
    <row r="143" spans="1:7" x14ac:dyDescent="0.2">
      <c r="A143" s="234"/>
      <c r="B143" s="31" t="s">
        <v>1239</v>
      </c>
      <c r="C143" s="17" t="s">
        <v>41</v>
      </c>
      <c r="D143" s="52">
        <f>SUM(D138:D142)</f>
        <v>6.5442</v>
      </c>
      <c r="E143" s="18"/>
      <c r="F143" s="249">
        <f>D143*E143</f>
        <v>0</v>
      </c>
      <c r="G143" s="74">
        <f>75*D143</f>
        <v>490.815</v>
      </c>
    </row>
    <row r="144" spans="1:7" x14ac:dyDescent="0.2">
      <c r="A144" s="234"/>
      <c r="B144" s="25"/>
      <c r="C144" s="25"/>
      <c r="D144" s="65"/>
      <c r="E144" s="25"/>
      <c r="F144" s="235"/>
    </row>
    <row r="145" spans="1:6" ht="63.75" x14ac:dyDescent="0.2">
      <c r="A145" s="234" t="s">
        <v>76</v>
      </c>
      <c r="B145" s="25" t="s">
        <v>344</v>
      </c>
      <c r="C145" s="25"/>
      <c r="D145" s="65"/>
      <c r="E145" s="25"/>
      <c r="F145" s="235"/>
    </row>
    <row r="146" spans="1:6" ht="25.5" x14ac:dyDescent="0.2">
      <c r="A146" s="234"/>
      <c r="B146" s="223" t="s">
        <v>307</v>
      </c>
      <c r="C146" s="96"/>
      <c r="D146" s="29"/>
      <c r="E146" s="25"/>
      <c r="F146" s="235"/>
    </row>
    <row r="147" spans="1:6" ht="38.25" x14ac:dyDescent="0.2">
      <c r="A147" s="234"/>
      <c r="B147" s="223" t="s">
        <v>343</v>
      </c>
      <c r="C147" s="96"/>
      <c r="D147" s="29"/>
      <c r="E147" s="25"/>
      <c r="F147" s="235"/>
    </row>
    <row r="148" spans="1:6" x14ac:dyDescent="0.2">
      <c r="A148" s="247"/>
      <c r="B148" s="30"/>
      <c r="C148" s="25"/>
      <c r="D148" s="65"/>
      <c r="E148" s="25"/>
      <c r="F148" s="235"/>
    </row>
    <row r="149" spans="1:6" x14ac:dyDescent="0.2">
      <c r="A149" s="247"/>
      <c r="B149" s="30" t="s">
        <v>28</v>
      </c>
      <c r="C149" s="25"/>
      <c r="D149" s="65"/>
      <c r="E149" s="25"/>
      <c r="F149" s="235"/>
    </row>
    <row r="150" spans="1:6" ht="25.5" x14ac:dyDescent="0.2">
      <c r="A150" s="247"/>
      <c r="B150" s="31" t="s">
        <v>708</v>
      </c>
      <c r="C150" s="25"/>
      <c r="D150" s="52">
        <f>0.16*2.77*(2.92+1.75*2+1.81+0.55+0.75*2)</f>
        <v>4.556096000000001</v>
      </c>
      <c r="E150" s="25"/>
      <c r="F150" s="235"/>
    </row>
    <row r="151" spans="1:6" x14ac:dyDescent="0.2">
      <c r="A151" s="247"/>
      <c r="B151" s="30"/>
      <c r="C151" s="25"/>
      <c r="D151" s="65"/>
      <c r="E151" s="25"/>
      <c r="F151" s="235"/>
    </row>
    <row r="152" spans="1:6" x14ac:dyDescent="0.2">
      <c r="A152" s="247"/>
      <c r="B152" s="30" t="s">
        <v>746</v>
      </c>
      <c r="C152" s="25"/>
      <c r="D152" s="65"/>
      <c r="E152" s="25"/>
      <c r="F152" s="235"/>
    </row>
    <row r="153" spans="1:6" ht="25.5" x14ac:dyDescent="0.2">
      <c r="A153" s="247"/>
      <c r="B153" s="31" t="s">
        <v>708</v>
      </c>
      <c r="C153" s="25"/>
      <c r="D153" s="52">
        <f>0.16*2.77*(2.92+1.75*2+1.81+0.55+0.75*2)</f>
        <v>4.556096000000001</v>
      </c>
      <c r="E153" s="25"/>
      <c r="F153" s="235"/>
    </row>
    <row r="154" spans="1:6" x14ac:dyDescent="0.2">
      <c r="A154" s="247"/>
      <c r="B154" s="30"/>
      <c r="C154" s="25"/>
      <c r="D154" s="65"/>
      <c r="E154" s="25"/>
      <c r="F154" s="235"/>
    </row>
    <row r="155" spans="1:6" x14ac:dyDescent="0.2">
      <c r="A155" s="247"/>
      <c r="B155" s="30" t="s">
        <v>753</v>
      </c>
      <c r="C155" s="25"/>
      <c r="D155" s="65"/>
      <c r="E155" s="25"/>
      <c r="F155" s="235"/>
    </row>
    <row r="156" spans="1:6" ht="25.5" x14ac:dyDescent="0.2">
      <c r="A156" s="247"/>
      <c r="B156" s="31" t="s">
        <v>754</v>
      </c>
      <c r="C156" s="25"/>
      <c r="D156" s="52">
        <f>2*0.16*2.77*(2.92+1.75*2+1.81+0.55+0.75*2)</f>
        <v>9.1121920000000021</v>
      </c>
      <c r="E156" s="25"/>
      <c r="F156" s="235"/>
    </row>
    <row r="157" spans="1:6" x14ac:dyDescent="0.2">
      <c r="A157" s="247"/>
      <c r="B157" s="31"/>
      <c r="C157" s="25"/>
      <c r="D157" s="52"/>
      <c r="E157" s="25"/>
      <c r="F157" s="235"/>
    </row>
    <row r="158" spans="1:6" x14ac:dyDescent="0.2">
      <c r="A158" s="247"/>
      <c r="B158" s="31" t="s">
        <v>828</v>
      </c>
      <c r="C158" s="25"/>
      <c r="D158" s="52"/>
      <c r="E158" s="25"/>
      <c r="F158" s="235"/>
    </row>
    <row r="159" spans="1:6" ht="25.5" x14ac:dyDescent="0.2">
      <c r="A159" s="247"/>
      <c r="B159" s="31" t="s">
        <v>827</v>
      </c>
      <c r="C159" s="25"/>
      <c r="D159" s="52">
        <f>0.16*2.7*(1.75*2+2.92+1.82+0.55+0.75*2)+0.16*1.1*(1.75*2+2.92)</f>
        <v>5.5752000000000015</v>
      </c>
      <c r="E159" s="25"/>
      <c r="F159" s="235"/>
    </row>
    <row r="160" spans="1:6" x14ac:dyDescent="0.2">
      <c r="A160" s="247"/>
      <c r="B160" s="30"/>
      <c r="C160" s="25"/>
      <c r="D160" s="65"/>
      <c r="E160" s="25"/>
      <c r="F160" s="235"/>
    </row>
    <row r="161" spans="1:7" x14ac:dyDescent="0.2">
      <c r="A161" s="339"/>
      <c r="B161" s="354" t="s">
        <v>803</v>
      </c>
      <c r="C161" s="341" t="s">
        <v>41</v>
      </c>
      <c r="D161" s="348">
        <f>SUM(D150:D160)</f>
        <v>23.799584000000007</v>
      </c>
      <c r="E161" s="352"/>
      <c r="F161" s="353">
        <f>D161*E161</f>
        <v>0</v>
      </c>
      <c r="G161" s="74">
        <f>75*D161</f>
        <v>1784.9688000000006</v>
      </c>
    </row>
    <row r="162" spans="1:7" x14ac:dyDescent="0.2">
      <c r="A162" s="234"/>
      <c r="B162" s="25"/>
      <c r="C162" s="25"/>
      <c r="D162" s="65"/>
      <c r="E162" s="25"/>
      <c r="F162" s="235"/>
    </row>
    <row r="163" spans="1:7" ht="63.75" x14ac:dyDescent="0.2">
      <c r="A163" s="234" t="s">
        <v>167</v>
      </c>
      <c r="B163" s="25" t="s">
        <v>313</v>
      </c>
      <c r="C163" s="25"/>
      <c r="D163" s="65"/>
      <c r="E163" s="25"/>
      <c r="F163" s="235"/>
    </row>
    <row r="164" spans="1:7" ht="25.5" x14ac:dyDescent="0.2">
      <c r="A164" s="234"/>
      <c r="B164" s="223" t="s">
        <v>307</v>
      </c>
      <c r="C164" s="96"/>
      <c r="D164" s="29"/>
      <c r="E164" s="25"/>
      <c r="F164" s="235"/>
    </row>
    <row r="165" spans="1:7" ht="38.25" x14ac:dyDescent="0.2">
      <c r="A165" s="234"/>
      <c r="B165" s="124" t="s">
        <v>343</v>
      </c>
      <c r="C165" s="25"/>
      <c r="D165" s="65"/>
      <c r="E165" s="25"/>
      <c r="F165" s="235"/>
    </row>
    <row r="166" spans="1:7" x14ac:dyDescent="0.2">
      <c r="A166" s="247"/>
      <c r="B166" s="25"/>
      <c r="C166" s="25"/>
      <c r="D166" s="65"/>
      <c r="E166" s="25"/>
      <c r="F166" s="235"/>
    </row>
    <row r="167" spans="1:7" x14ac:dyDescent="0.2">
      <c r="A167" s="247"/>
      <c r="B167" s="25" t="s">
        <v>28</v>
      </c>
      <c r="C167" s="25"/>
      <c r="D167" s="65"/>
      <c r="E167" s="25"/>
      <c r="F167" s="235"/>
    </row>
    <row r="168" spans="1:7" ht="102" x14ac:dyDescent="0.2">
      <c r="A168" s="247"/>
      <c r="B168" s="26" t="s">
        <v>706</v>
      </c>
      <c r="C168" s="25"/>
      <c r="D168" s="29">
        <f>0.2*2.77*(4.84+5.05+3.84+3.355+4.17+1.15+6.67+2.96+0.91+0.415+2.58+1.81+4.06+0.7+2.86+0.7*2+3+1.25+1.3*2+0.8*2*2+1.2*2+0.3+3.75*2+6.25+4.77+2+1.25)-0.2*(1*1.6+1.8*1.6+1*1.6*6+1*2)+0.2*0.15*(1.2+2.9+1.52*2*5+2.9*5+1.08*3+1.85+2.1*2+1.2)</f>
        <v>43.147360000000006</v>
      </c>
      <c r="E168" s="25"/>
      <c r="F168" s="235"/>
    </row>
    <row r="169" spans="1:7" x14ac:dyDescent="0.2">
      <c r="A169" s="247"/>
      <c r="B169" s="25"/>
      <c r="C169" s="25"/>
      <c r="D169" s="65"/>
      <c r="E169" s="25"/>
      <c r="F169" s="235"/>
    </row>
    <row r="170" spans="1:7" x14ac:dyDescent="0.2">
      <c r="A170" s="247"/>
      <c r="B170" s="25" t="s">
        <v>746</v>
      </c>
      <c r="C170" s="25"/>
      <c r="D170" s="65"/>
      <c r="E170" s="25"/>
      <c r="F170" s="235"/>
    </row>
    <row r="171" spans="1:7" ht="102" x14ac:dyDescent="0.2">
      <c r="A171" s="247"/>
      <c r="B171" s="26" t="s">
        <v>706</v>
      </c>
      <c r="C171" s="25"/>
      <c r="D171" s="29">
        <f>0.2*2.77*(4.84+5.05+3.84+3.355+4.17+1.15+6.67+2.96+0.91+0.415+2.58+1.81+4.06+0.7+2.86+0.7*2+3+1.25+1.3*2+0.8*2*2+1.2*2+0.3+3.75*2+6.25+4.77+2+1.25)-0.2*(1*1.6+1.8*1.6+1*1.6*6+1*2)+0.2*0.15*(1.2+2.9+1.52*2*5+2.9*5+1.08*3+1.85+2.1*2+1.2)</f>
        <v>43.147360000000006</v>
      </c>
      <c r="E171" s="25"/>
      <c r="F171" s="235"/>
    </row>
    <row r="172" spans="1:7" x14ac:dyDescent="0.2">
      <c r="A172" s="247"/>
      <c r="B172" s="25"/>
      <c r="C172" s="25"/>
      <c r="D172" s="65"/>
      <c r="E172" s="25"/>
      <c r="F172" s="235"/>
    </row>
    <row r="173" spans="1:7" x14ac:dyDescent="0.2">
      <c r="A173" s="247"/>
      <c r="B173" s="25" t="s">
        <v>750</v>
      </c>
      <c r="C173" s="25"/>
      <c r="D173" s="65"/>
      <c r="E173" s="25"/>
      <c r="F173" s="235"/>
    </row>
    <row r="174" spans="1:7" ht="102" x14ac:dyDescent="0.2">
      <c r="A174" s="247"/>
      <c r="B174" s="26" t="s">
        <v>752</v>
      </c>
      <c r="C174" s="25"/>
      <c r="D174" s="29">
        <f>2*(0.2*2.77*(4.84+5.05+3.84+3.355+4.17+1.15+6.67+2.96+0.91+0.415+2.58+1.81+4.06+0.7+2.86+0.7*2+3+1.25+1.3*2+0.8*2*2+1.2*2+0.3+3.75*2+6.25+4.77+2+1.25)-0.2*(1*1.6+1.8*1.6+1*1.6*6+1*2)+0.2*0.15*(1.2+2.9+1.52*2*5+2.9*5+1.08*3+1.85+2.1*2+1.2))</f>
        <v>86.294720000000012</v>
      </c>
      <c r="E174" s="25"/>
      <c r="F174" s="235"/>
    </row>
    <row r="175" spans="1:7" x14ac:dyDescent="0.2">
      <c r="A175" s="247"/>
      <c r="B175" s="25"/>
      <c r="C175" s="25"/>
      <c r="D175" s="65"/>
      <c r="E175" s="25"/>
      <c r="F175" s="235"/>
    </row>
    <row r="176" spans="1:7" x14ac:dyDescent="0.2">
      <c r="A176" s="247"/>
      <c r="B176" s="25" t="s">
        <v>828</v>
      </c>
      <c r="C176" s="25"/>
      <c r="D176" s="65"/>
      <c r="E176" s="25"/>
      <c r="F176" s="235"/>
    </row>
    <row r="177" spans="1:8" ht="102" x14ac:dyDescent="0.2">
      <c r="A177" s="247"/>
      <c r="B177" s="26" t="s">
        <v>829</v>
      </c>
      <c r="C177" s="25"/>
      <c r="D177" s="29">
        <f>0.2*(2.45*(5.05+4.84+2.05+6.35)+2.7*(3+3.09+6.7+4.95+7.87)+2.45*(4+2.5+1.4+3.25+3.85)-(1*2+0.8*2*2+1*2+1*1.6+1*1*3+1*1.6+2.7*2.4+1*1.6+1*1)+(2.1+2.7)/2*(0.8*2+0.5+0.75+3.75)*2+(2.5+2.7)/2*6.25)+0.2*1.1*2.92+0.2*1.1*2.92</f>
        <v>36.516300000000008</v>
      </c>
      <c r="E177" s="25"/>
      <c r="F177" s="235"/>
    </row>
    <row r="178" spans="1:8" x14ac:dyDescent="0.2">
      <c r="A178" s="247"/>
      <c r="B178" s="25"/>
      <c r="C178" s="25"/>
      <c r="D178" s="65"/>
      <c r="E178" s="25"/>
      <c r="F178" s="235"/>
    </row>
    <row r="179" spans="1:8" x14ac:dyDescent="0.2">
      <c r="A179" s="339"/>
      <c r="B179" s="354" t="s">
        <v>804</v>
      </c>
      <c r="C179" s="341" t="s">
        <v>41</v>
      </c>
      <c r="D179" s="348">
        <f>SUM(D168:D178)</f>
        <v>209.10574000000003</v>
      </c>
      <c r="E179" s="352"/>
      <c r="F179" s="353">
        <f>D179*E179</f>
        <v>0</v>
      </c>
      <c r="G179" s="74">
        <f>75*D179</f>
        <v>15682.930500000002</v>
      </c>
    </row>
    <row r="180" spans="1:8" x14ac:dyDescent="0.2">
      <c r="A180" s="234"/>
      <c r="B180" s="25"/>
      <c r="C180" s="25"/>
      <c r="D180" s="65"/>
      <c r="E180" s="25"/>
      <c r="F180" s="235"/>
    </row>
    <row r="181" spans="1:8" ht="63.75" x14ac:dyDescent="0.2">
      <c r="A181" s="234" t="s">
        <v>195</v>
      </c>
      <c r="B181" s="25" t="s">
        <v>345</v>
      </c>
      <c r="C181" s="25"/>
      <c r="D181" s="65"/>
      <c r="E181" s="25"/>
      <c r="F181" s="235"/>
      <c r="H181" s="191"/>
    </row>
    <row r="182" spans="1:8" ht="25.5" x14ac:dyDescent="0.2">
      <c r="A182" s="234"/>
      <c r="B182" s="223" t="s">
        <v>307</v>
      </c>
      <c r="C182" s="96"/>
      <c r="D182" s="29"/>
      <c r="E182" s="25"/>
      <c r="F182" s="235"/>
    </row>
    <row r="183" spans="1:8" ht="38.25" x14ac:dyDescent="0.2">
      <c r="A183" s="234"/>
      <c r="B183" s="223" t="s">
        <v>343</v>
      </c>
      <c r="C183" s="96"/>
      <c r="D183" s="29"/>
      <c r="E183" s="25"/>
      <c r="F183" s="235"/>
    </row>
    <row r="184" spans="1:8" x14ac:dyDescent="0.2">
      <c r="A184" s="247"/>
      <c r="B184" s="25"/>
      <c r="C184" s="25"/>
      <c r="D184" s="65"/>
      <c r="E184" s="25"/>
      <c r="F184" s="235"/>
    </row>
    <row r="185" spans="1:8" x14ac:dyDescent="0.2">
      <c r="A185" s="247"/>
      <c r="B185" s="25" t="s">
        <v>28</v>
      </c>
      <c r="C185" s="25"/>
      <c r="D185" s="65"/>
      <c r="E185" s="25"/>
      <c r="F185" s="235"/>
    </row>
    <row r="186" spans="1:8" ht="25.5" x14ac:dyDescent="0.2">
      <c r="A186" s="247"/>
      <c r="B186" s="26" t="s">
        <v>707</v>
      </c>
      <c r="C186" s="25"/>
      <c r="D186" s="29">
        <f>0.25*2.77*(0.7+0.64+2.78+0.7*16+4.15+4.71+2.8+3.2+6.25+2.17)</f>
        <v>26.730500000000003</v>
      </c>
      <c r="E186" s="25"/>
      <c r="F186" s="235"/>
    </row>
    <row r="187" spans="1:8" x14ac:dyDescent="0.2">
      <c r="A187" s="247"/>
      <c r="B187" s="26"/>
      <c r="C187" s="25"/>
      <c r="D187" s="29"/>
      <c r="E187" s="25"/>
      <c r="F187" s="235"/>
    </row>
    <row r="188" spans="1:8" x14ac:dyDescent="0.2">
      <c r="A188" s="247"/>
      <c r="B188" s="26" t="s">
        <v>746</v>
      </c>
      <c r="C188" s="25"/>
      <c r="D188" s="29"/>
      <c r="E188" s="25"/>
      <c r="F188" s="235"/>
    </row>
    <row r="189" spans="1:8" ht="25.5" x14ac:dyDescent="0.2">
      <c r="A189" s="247"/>
      <c r="B189" s="26" t="s">
        <v>707</v>
      </c>
      <c r="C189" s="25"/>
      <c r="D189" s="29">
        <f>0.25*2.77*(0.7+0.64+2.78+0.7*16+4.15+4.71+2.8+3.2+6.25+2.17)</f>
        <v>26.730500000000003</v>
      </c>
      <c r="E189" s="25"/>
      <c r="F189" s="235"/>
    </row>
    <row r="190" spans="1:8" x14ac:dyDescent="0.2">
      <c r="A190" s="247"/>
      <c r="B190" s="26"/>
      <c r="C190" s="25"/>
      <c r="D190" s="29"/>
      <c r="E190" s="25"/>
      <c r="F190" s="235"/>
    </row>
    <row r="191" spans="1:8" x14ac:dyDescent="0.2">
      <c r="A191" s="247"/>
      <c r="B191" s="25" t="s">
        <v>750</v>
      </c>
      <c r="C191" s="25"/>
      <c r="D191" s="65"/>
      <c r="E191" s="25"/>
      <c r="F191" s="235"/>
    </row>
    <row r="192" spans="1:8" ht="25.5" x14ac:dyDescent="0.2">
      <c r="A192" s="247"/>
      <c r="B192" s="26" t="s">
        <v>751</v>
      </c>
      <c r="C192" s="25"/>
      <c r="D192" s="29">
        <f>2*0.25*2.77*(0.7+0.64+2.78+0.7*16+4.15+4.71+2.8+3.2+6.25+2.17)</f>
        <v>53.461000000000006</v>
      </c>
      <c r="E192" s="25"/>
      <c r="F192" s="235"/>
    </row>
    <row r="193" spans="1:8" x14ac:dyDescent="0.2">
      <c r="A193" s="247"/>
      <c r="B193" s="26"/>
      <c r="C193" s="25"/>
      <c r="D193" s="29"/>
      <c r="E193" s="25"/>
      <c r="F193" s="235"/>
    </row>
    <row r="194" spans="1:8" x14ac:dyDescent="0.2">
      <c r="A194" s="247"/>
      <c r="B194" s="26" t="s">
        <v>776</v>
      </c>
      <c r="C194" s="25"/>
      <c r="D194" s="29"/>
      <c r="E194" s="25"/>
      <c r="F194" s="235"/>
    </row>
    <row r="195" spans="1:8" ht="25.5" x14ac:dyDescent="0.2">
      <c r="A195" s="247"/>
      <c r="B195" s="26" t="s">
        <v>824</v>
      </c>
      <c r="C195" s="25"/>
      <c r="D195" s="29">
        <f>0.25*((2.45+2.7)/2*4.75+(1.5+2.7)/2*6.3+2.7*(3.9+1.97+3.6+3.67+0.7*11))</f>
        <v>20.432312500000002</v>
      </c>
      <c r="E195" s="25"/>
      <c r="F195" s="235"/>
    </row>
    <row r="196" spans="1:8" x14ac:dyDescent="0.2">
      <c r="A196" s="247"/>
      <c r="B196" s="26"/>
      <c r="C196" s="25"/>
      <c r="D196" s="29"/>
      <c r="E196" s="25"/>
      <c r="F196" s="235"/>
    </row>
    <row r="197" spans="1:8" x14ac:dyDescent="0.2">
      <c r="A197" s="234"/>
      <c r="B197" s="26" t="s">
        <v>709</v>
      </c>
      <c r="C197" s="62" t="s">
        <v>41</v>
      </c>
      <c r="D197" s="65">
        <f>SUM(D182:D196)</f>
        <v>127.35431250000002</v>
      </c>
      <c r="E197" s="20"/>
      <c r="F197" s="242">
        <f>D197*E197</f>
        <v>0</v>
      </c>
      <c r="G197" s="74">
        <f>75*D197</f>
        <v>9551.5734375000011</v>
      </c>
    </row>
    <row r="198" spans="1:8" x14ac:dyDescent="0.2">
      <c r="A198" s="234"/>
      <c r="B198" s="26"/>
      <c r="C198" s="62"/>
      <c r="D198" s="29"/>
      <c r="E198" s="20"/>
      <c r="F198" s="242"/>
      <c r="G198" s="10"/>
    </row>
    <row r="199" spans="1:8" ht="51" x14ac:dyDescent="0.2">
      <c r="A199" s="234" t="s">
        <v>293</v>
      </c>
      <c r="B199" s="26" t="s">
        <v>322</v>
      </c>
      <c r="C199" s="62"/>
      <c r="D199" s="29"/>
      <c r="E199" s="20"/>
      <c r="F199" s="242"/>
      <c r="G199" s="10"/>
    </row>
    <row r="200" spans="1:8" ht="25.5" x14ac:dyDescent="0.2">
      <c r="A200" s="234"/>
      <c r="B200" s="241" t="s">
        <v>307</v>
      </c>
      <c r="C200" s="25"/>
      <c r="D200" s="65"/>
      <c r="E200" s="25"/>
      <c r="F200" s="235"/>
    </row>
    <row r="201" spans="1:8" ht="38.25" x14ac:dyDescent="0.2">
      <c r="A201" s="234"/>
      <c r="B201" s="223" t="s">
        <v>821</v>
      </c>
      <c r="C201" s="96"/>
      <c r="D201" s="29"/>
      <c r="E201" s="25"/>
      <c r="F201" s="235"/>
    </row>
    <row r="202" spans="1:8" s="74" customFormat="1" x14ac:dyDescent="0.2">
      <c r="A202" s="234"/>
      <c r="B202" s="25"/>
      <c r="C202" s="25"/>
      <c r="D202" s="65"/>
      <c r="E202" s="25"/>
      <c r="F202" s="235"/>
      <c r="H202" s="74">
        <f>256+18</f>
        <v>274</v>
      </c>
    </row>
    <row r="203" spans="1:8" x14ac:dyDescent="0.2">
      <c r="A203" s="248" t="s">
        <v>805</v>
      </c>
      <c r="B203" s="25" t="s">
        <v>319</v>
      </c>
      <c r="C203" s="25"/>
      <c r="D203" s="65"/>
      <c r="E203" s="25"/>
      <c r="F203" s="235"/>
    </row>
    <row r="204" spans="1:8" x14ac:dyDescent="0.2">
      <c r="A204" s="248"/>
      <c r="B204" s="25"/>
      <c r="C204" s="25"/>
      <c r="D204" s="65"/>
      <c r="E204" s="25"/>
      <c r="F204" s="235"/>
    </row>
    <row r="205" spans="1:8" x14ac:dyDescent="0.2">
      <c r="A205" s="248"/>
      <c r="B205" s="25" t="s">
        <v>28</v>
      </c>
      <c r="C205" s="25"/>
      <c r="D205" s="65"/>
      <c r="E205" s="25"/>
      <c r="F205" s="235"/>
    </row>
    <row r="206" spans="1:8" ht="25.5" x14ac:dyDescent="0.2">
      <c r="A206" s="248"/>
      <c r="B206" s="26" t="s">
        <v>755</v>
      </c>
      <c r="C206" s="25"/>
      <c r="D206" s="29">
        <f>2.77*(0.25*0.7*6+0.25*0.6+0.2*0.25+0.25*0.5*3+0.2*0.25)</f>
        <v>4.6397499999999994</v>
      </c>
      <c r="E206" s="25"/>
      <c r="F206" s="235"/>
    </row>
    <row r="207" spans="1:8" x14ac:dyDescent="0.2">
      <c r="A207" s="248"/>
      <c r="B207" s="25"/>
      <c r="C207" s="25"/>
      <c r="D207" s="65"/>
      <c r="E207" s="25"/>
      <c r="F207" s="235"/>
    </row>
    <row r="208" spans="1:8" x14ac:dyDescent="0.2">
      <c r="A208" s="248"/>
      <c r="B208" s="25" t="s">
        <v>746</v>
      </c>
      <c r="C208" s="25"/>
      <c r="D208" s="65"/>
      <c r="E208" s="25"/>
      <c r="F208" s="235"/>
    </row>
    <row r="209" spans="1:7" ht="25.5" x14ac:dyDescent="0.2">
      <c r="A209" s="248"/>
      <c r="B209" s="26" t="s">
        <v>756</v>
      </c>
      <c r="C209" s="25"/>
      <c r="D209" s="29">
        <f>0.25*0.6+0.2*0.25+0.25*0.5+0.2*0.7*2</f>
        <v>0.60499999999999998</v>
      </c>
      <c r="E209" s="25"/>
      <c r="F209" s="235"/>
    </row>
    <row r="210" spans="1:7" x14ac:dyDescent="0.2">
      <c r="A210" s="248"/>
      <c r="B210" s="25"/>
      <c r="C210" s="25"/>
      <c r="D210" s="65"/>
      <c r="E210" s="25"/>
      <c r="F210" s="235"/>
    </row>
    <row r="211" spans="1:7" x14ac:dyDescent="0.2">
      <c r="A211" s="248"/>
      <c r="B211" s="25" t="s">
        <v>750</v>
      </c>
      <c r="C211" s="25"/>
      <c r="D211" s="65"/>
      <c r="E211" s="25"/>
      <c r="F211" s="235"/>
    </row>
    <row r="212" spans="1:7" ht="25.5" x14ac:dyDescent="0.2">
      <c r="A212" s="355"/>
      <c r="B212" s="354" t="s">
        <v>757</v>
      </c>
      <c r="C212" s="347"/>
      <c r="D212" s="342">
        <f>2*(0.25*0.6+0.2*0.25+0.25*0.5+0.2*0.7*2)</f>
        <v>1.21</v>
      </c>
      <c r="E212" s="347"/>
      <c r="F212" s="349"/>
    </row>
    <row r="213" spans="1:7" x14ac:dyDescent="0.2">
      <c r="A213" s="248"/>
      <c r="B213" s="25"/>
      <c r="C213" s="25"/>
      <c r="D213" s="65"/>
      <c r="E213" s="25"/>
      <c r="F213" s="235"/>
    </row>
    <row r="214" spans="1:7" x14ac:dyDescent="0.2">
      <c r="A214" s="248"/>
      <c r="B214" s="25" t="s">
        <v>776</v>
      </c>
      <c r="C214" s="25"/>
      <c r="D214" s="65"/>
      <c r="E214" s="25"/>
      <c r="F214" s="235"/>
    </row>
    <row r="215" spans="1:7" ht="25.5" x14ac:dyDescent="0.2">
      <c r="A215" s="248"/>
      <c r="B215" s="26" t="s">
        <v>825</v>
      </c>
      <c r="C215" s="25"/>
      <c r="D215" s="29">
        <f>0.7*0.25*2.7*8+0.25*0.2*2.7*3+0.25*0.6*2.7+0.2*0.5*2.7</f>
        <v>4.8599999999999994</v>
      </c>
      <c r="E215" s="25"/>
      <c r="F215" s="235"/>
    </row>
    <row r="216" spans="1:7" x14ac:dyDescent="0.2">
      <c r="A216" s="248"/>
      <c r="B216" s="25"/>
      <c r="C216" s="25"/>
      <c r="D216" s="65"/>
      <c r="E216" s="25"/>
      <c r="F216" s="235"/>
    </row>
    <row r="217" spans="1:7" x14ac:dyDescent="0.2">
      <c r="A217" s="234"/>
      <c r="B217" s="26" t="s">
        <v>806</v>
      </c>
      <c r="C217" s="27" t="s">
        <v>41</v>
      </c>
      <c r="D217" s="65">
        <f>SUM(D206:D216)</f>
        <v>11.31475</v>
      </c>
      <c r="E217" s="30"/>
      <c r="F217" s="242">
        <f>D217*E217</f>
        <v>0</v>
      </c>
      <c r="G217" s="74">
        <f>100*D217</f>
        <v>1131.4749999999999</v>
      </c>
    </row>
    <row r="218" spans="1:7" x14ac:dyDescent="0.2">
      <c r="A218" s="234"/>
      <c r="B218" s="26"/>
      <c r="C218" s="27"/>
      <c r="D218" s="65"/>
      <c r="E218" s="30"/>
      <c r="F218" s="242"/>
      <c r="G218" s="89"/>
    </row>
    <row r="219" spans="1:7" x14ac:dyDescent="0.2">
      <c r="A219" s="248" t="s">
        <v>807</v>
      </c>
      <c r="B219" s="25" t="s">
        <v>179</v>
      </c>
      <c r="C219" s="25"/>
      <c r="D219" s="65"/>
      <c r="E219" s="25"/>
      <c r="F219" s="235"/>
    </row>
    <row r="220" spans="1:7" x14ac:dyDescent="0.2">
      <c r="A220" s="248"/>
      <c r="B220" s="25"/>
      <c r="C220" s="25"/>
      <c r="D220" s="65"/>
      <c r="E220" s="25"/>
      <c r="F220" s="235"/>
    </row>
    <row r="221" spans="1:7" x14ac:dyDescent="0.2">
      <c r="A221" s="248"/>
      <c r="B221" s="25" t="s">
        <v>28</v>
      </c>
      <c r="C221" s="25"/>
      <c r="D221" s="65"/>
      <c r="E221" s="25"/>
      <c r="F221" s="235"/>
    </row>
    <row r="222" spans="1:7" ht="25.5" x14ac:dyDescent="0.2">
      <c r="A222" s="234"/>
      <c r="B222" s="60" t="s">
        <v>1251</v>
      </c>
      <c r="C222" s="62"/>
      <c r="D222" s="29">
        <f>2.77*0.2*0.2*4*2+0.25*0.2*2.05*2*9</f>
        <v>2.7313999999999998</v>
      </c>
      <c r="E222" s="30"/>
      <c r="F222" s="242"/>
      <c r="G222" s="89"/>
    </row>
    <row r="223" spans="1:7" x14ac:dyDescent="0.2">
      <c r="A223" s="234"/>
      <c r="B223" s="26"/>
      <c r="C223" s="27"/>
      <c r="D223" s="29"/>
      <c r="E223" s="30"/>
      <c r="F223" s="242"/>
      <c r="G223" s="89"/>
    </row>
    <row r="224" spans="1:7" x14ac:dyDescent="0.2">
      <c r="A224" s="234"/>
      <c r="B224" s="25" t="s">
        <v>746</v>
      </c>
      <c r="C224" s="27"/>
      <c r="D224" s="29"/>
      <c r="E224" s="30"/>
      <c r="F224" s="242"/>
      <c r="G224" s="89"/>
    </row>
    <row r="225" spans="1:7" ht="25.5" x14ac:dyDescent="0.2">
      <c r="A225" s="234"/>
      <c r="B225" s="26" t="s">
        <v>1252</v>
      </c>
      <c r="C225" s="27"/>
      <c r="D225" s="29">
        <f>2.77*(0.25*0.6+0.2*0.25+0.25*0.5*3+0.2*0.7)</f>
        <v>1.98055</v>
      </c>
      <c r="E225" s="30"/>
      <c r="F225" s="242"/>
      <c r="G225" s="89"/>
    </row>
    <row r="226" spans="1:7" x14ac:dyDescent="0.2">
      <c r="A226" s="234"/>
      <c r="B226" s="26"/>
      <c r="C226" s="27"/>
      <c r="D226" s="29"/>
      <c r="E226" s="30"/>
      <c r="F226" s="242"/>
      <c r="G226" s="89"/>
    </row>
    <row r="227" spans="1:7" x14ac:dyDescent="0.2">
      <c r="A227" s="234"/>
      <c r="B227" s="25" t="s">
        <v>753</v>
      </c>
      <c r="C227" s="27"/>
      <c r="D227" s="29"/>
      <c r="E227" s="30"/>
      <c r="F227" s="242"/>
      <c r="G227" s="89"/>
    </row>
    <row r="228" spans="1:7" ht="25.5" x14ac:dyDescent="0.2">
      <c r="A228" s="234"/>
      <c r="B228" s="26" t="s">
        <v>1253</v>
      </c>
      <c r="C228" s="27"/>
      <c r="D228" s="29">
        <f>2*(2.77*(0.25*0.6+0.2*0.25+0.25*0.5*3+0.2*0.7))</f>
        <v>3.9611000000000001</v>
      </c>
      <c r="E228" s="30"/>
      <c r="F228" s="242"/>
      <c r="G228" s="89"/>
    </row>
    <row r="229" spans="1:7" x14ac:dyDescent="0.2">
      <c r="A229" s="234"/>
      <c r="B229" s="26"/>
      <c r="C229" s="27"/>
      <c r="D229" s="29"/>
      <c r="E229" s="30"/>
      <c r="F229" s="242"/>
      <c r="G229" s="89"/>
    </row>
    <row r="230" spans="1:7" x14ac:dyDescent="0.2">
      <c r="A230" s="234"/>
      <c r="B230" s="26" t="s">
        <v>776</v>
      </c>
      <c r="C230" s="27"/>
      <c r="D230" s="29"/>
      <c r="E230" s="30"/>
      <c r="F230" s="242"/>
      <c r="G230" s="89"/>
    </row>
    <row r="231" spans="1:7" x14ac:dyDescent="0.2">
      <c r="A231" s="234"/>
      <c r="B231" s="26" t="s">
        <v>826</v>
      </c>
      <c r="C231" s="27"/>
      <c r="D231" s="29">
        <f>0.2*0.2*2.7*12+0.25*0.2*2.05*11*2</f>
        <v>3.5510000000000002</v>
      </c>
      <c r="E231" s="30"/>
      <c r="F231" s="242"/>
      <c r="G231" s="89"/>
    </row>
    <row r="232" spans="1:7" x14ac:dyDescent="0.2">
      <c r="A232" s="234"/>
      <c r="B232" s="26"/>
      <c r="C232" s="27"/>
      <c r="D232" s="29"/>
      <c r="E232" s="30"/>
      <c r="F232" s="242"/>
      <c r="G232" s="89"/>
    </row>
    <row r="233" spans="1:7" x14ac:dyDescent="0.2">
      <c r="A233" s="234"/>
      <c r="B233" s="26" t="s">
        <v>808</v>
      </c>
      <c r="C233" s="27" t="s">
        <v>41</v>
      </c>
      <c r="D233" s="29">
        <f>SUM(D222:D232)</f>
        <v>12.22405</v>
      </c>
      <c r="E233" s="30"/>
      <c r="F233" s="242">
        <f>D233*E233</f>
        <v>0</v>
      </c>
      <c r="G233" s="74">
        <f>100*D233</f>
        <v>1222.405</v>
      </c>
    </row>
    <row r="234" spans="1:7" x14ac:dyDescent="0.2">
      <c r="A234" s="234"/>
      <c r="B234" s="25"/>
      <c r="C234" s="27"/>
      <c r="D234" s="65"/>
      <c r="E234" s="30"/>
      <c r="F234" s="242"/>
      <c r="G234" s="89"/>
    </row>
    <row r="235" spans="1:7" ht="51" x14ac:dyDescent="0.2">
      <c r="A235" s="234" t="s">
        <v>320</v>
      </c>
      <c r="B235" s="30" t="s">
        <v>331</v>
      </c>
      <c r="C235" s="25"/>
      <c r="D235" s="65"/>
      <c r="E235" s="25"/>
      <c r="F235" s="235"/>
      <c r="G235" s="89"/>
    </row>
    <row r="236" spans="1:7" ht="25.5" x14ac:dyDescent="0.2">
      <c r="A236" s="234"/>
      <c r="B236" s="20" t="s">
        <v>307</v>
      </c>
      <c r="C236" s="25"/>
      <c r="D236" s="65"/>
      <c r="E236" s="25"/>
      <c r="F236" s="235"/>
      <c r="G236" s="89"/>
    </row>
    <row r="237" spans="1:7" ht="38.25" x14ac:dyDescent="0.2">
      <c r="A237" s="234"/>
      <c r="B237" s="20" t="s">
        <v>821</v>
      </c>
      <c r="C237" s="25"/>
      <c r="D237" s="65"/>
      <c r="E237" s="25"/>
      <c r="F237" s="235"/>
      <c r="G237" s="89"/>
    </row>
    <row r="238" spans="1:7" x14ac:dyDescent="0.2">
      <c r="A238" s="234"/>
      <c r="B238" s="25"/>
      <c r="C238" s="25"/>
      <c r="D238" s="65"/>
      <c r="E238" s="25"/>
      <c r="F238" s="235"/>
      <c r="G238" s="89"/>
    </row>
    <row r="239" spans="1:7" x14ac:dyDescent="0.2">
      <c r="A239" s="248" t="s">
        <v>809</v>
      </c>
      <c r="B239" s="25" t="s">
        <v>810</v>
      </c>
      <c r="C239" s="25"/>
      <c r="D239" s="65"/>
      <c r="E239" s="25"/>
      <c r="F239" s="235"/>
      <c r="G239" s="89"/>
    </row>
    <row r="240" spans="1:7" x14ac:dyDescent="0.2">
      <c r="A240" s="248"/>
      <c r="B240" s="25"/>
      <c r="C240" s="25"/>
      <c r="D240" s="65"/>
      <c r="E240" s="25"/>
      <c r="F240" s="235"/>
      <c r="G240" s="89"/>
    </row>
    <row r="241" spans="1:7" x14ac:dyDescent="0.2">
      <c r="A241" s="248"/>
      <c r="B241" s="25" t="s">
        <v>811</v>
      </c>
      <c r="C241" s="25"/>
      <c r="D241" s="65"/>
      <c r="E241" s="25"/>
      <c r="F241" s="235"/>
      <c r="G241" s="89"/>
    </row>
    <row r="242" spans="1:7" ht="25.5" x14ac:dyDescent="0.2">
      <c r="A242" s="234"/>
      <c r="B242" s="26" t="s">
        <v>700</v>
      </c>
      <c r="C242" s="25"/>
      <c r="D242" s="29">
        <f>0.2*0.45*10.15+0.25*0.45*(1.55+6.6+1.55*2)+0.2*0.7*3.1</f>
        <v>2.6131250000000001</v>
      </c>
      <c r="E242" s="25"/>
      <c r="F242" s="235"/>
      <c r="G242" s="89"/>
    </row>
    <row r="243" spans="1:7" x14ac:dyDescent="0.2">
      <c r="A243" s="234"/>
      <c r="B243" s="26"/>
      <c r="C243" s="62"/>
      <c r="D243" s="29"/>
      <c r="E243" s="25"/>
      <c r="F243" s="235"/>
      <c r="G243" s="89"/>
    </row>
    <row r="244" spans="1:7" x14ac:dyDescent="0.2">
      <c r="A244" s="234"/>
      <c r="B244" s="61" t="s">
        <v>812</v>
      </c>
      <c r="C244" s="61"/>
      <c r="D244" s="65"/>
      <c r="E244" s="25"/>
      <c r="F244" s="235"/>
      <c r="G244" s="89"/>
    </row>
    <row r="245" spans="1:7" ht="89.25" x14ac:dyDescent="0.2">
      <c r="A245" s="339"/>
      <c r="B245" s="356" t="s">
        <v>701</v>
      </c>
      <c r="C245" s="357"/>
      <c r="D245" s="358">
        <f>0.2*0.45*(1.62+1.95+2.9+8.05+7.55+3.8+3+1.46+2.9*4+4.4*2+4.62+6.68+2.81+1.5+1.2+2.75+13.64)+0.25*0.45*(5.78+5.37+7.65+5.35+12.62+7.87+9.045+5.45+1.55+5.35*2+9.2+1.1+5.13+2.37+2.95+4.55+2.35+2.05)+0.15*0.3*(1.55*12+2.9*6)</f>
        <v>20.545762500000002</v>
      </c>
      <c r="E245" s="347"/>
      <c r="F245" s="349"/>
      <c r="G245" s="89"/>
    </row>
    <row r="246" spans="1:7" x14ac:dyDescent="0.2">
      <c r="A246" s="234"/>
      <c r="B246" s="60"/>
      <c r="C246" s="61"/>
      <c r="D246" s="217"/>
      <c r="E246" s="25"/>
      <c r="F246" s="235"/>
      <c r="G246" s="89"/>
    </row>
    <row r="247" spans="1:7" x14ac:dyDescent="0.2">
      <c r="A247" s="234"/>
      <c r="B247" s="61" t="s">
        <v>813</v>
      </c>
      <c r="C247" s="61"/>
      <c r="D247" s="65"/>
      <c r="E247" s="25"/>
      <c r="F247" s="235"/>
      <c r="G247" s="89"/>
    </row>
    <row r="248" spans="1:7" ht="89.25" x14ac:dyDescent="0.2">
      <c r="A248" s="234"/>
      <c r="B248" s="60" t="s">
        <v>701</v>
      </c>
      <c r="C248" s="61"/>
      <c r="D248" s="217">
        <f>0.2*0.45*(1.62+1.95+2.9+8.05+7.55+3.8+3+1.46+2.9*4+4.4*2+4.62+6.68+2.81+1.5+1.2+2.75+13.64)+0.25*0.45*(5.78+5.37+7.65+5.35+12.62+7.87+9.045+5.45+1.55+5.35*2+9.2+1.1+5.13+2.37+2.95+4.55+2.35+2.05)+0.15*0.3*(1.55*12+2.9*6)</f>
        <v>20.545762500000002</v>
      </c>
      <c r="E248" s="25"/>
      <c r="F248" s="235"/>
      <c r="G248" s="89"/>
    </row>
    <row r="249" spans="1:7" x14ac:dyDescent="0.2">
      <c r="A249" s="234"/>
      <c r="B249" s="61" t="s">
        <v>814</v>
      </c>
      <c r="C249" s="61"/>
      <c r="D249" s="65"/>
      <c r="E249" s="25"/>
      <c r="F249" s="235"/>
      <c r="G249" s="89"/>
    </row>
    <row r="250" spans="1:7" ht="89.25" x14ac:dyDescent="0.2">
      <c r="A250" s="234"/>
      <c r="B250" s="60" t="s">
        <v>701</v>
      </c>
      <c r="C250" s="61"/>
      <c r="D250" s="217">
        <f>0.2*0.45*(1.62+1.95+2.9+8.05+7.55+3.8+3+1.46+2.9*4+4.4*2+4.62+6.68+2.81+1.5+1.2+2.75+13.64)+0.25*0.45*(5.78+5.37+7.65+5.35+12.62+7.87+9.045+5.45+1.55+5.35*2+9.2+1.1+5.13+2.37+2.95+4.55+2.35+2.05)+0.15*0.3*(1.55*12+2.9*6)</f>
        <v>20.545762500000002</v>
      </c>
      <c r="E250" s="25"/>
      <c r="F250" s="235"/>
      <c r="G250" s="89"/>
    </row>
    <row r="251" spans="1:7" x14ac:dyDescent="0.2">
      <c r="A251" s="234"/>
      <c r="B251" s="61" t="s">
        <v>815</v>
      </c>
      <c r="C251" s="61"/>
      <c r="D251" s="65"/>
      <c r="E251" s="25"/>
      <c r="F251" s="235"/>
      <c r="G251" s="89"/>
    </row>
    <row r="252" spans="1:7" ht="89.25" x14ac:dyDescent="0.2">
      <c r="A252" s="234"/>
      <c r="B252" s="60" t="s">
        <v>701</v>
      </c>
      <c r="C252" s="61"/>
      <c r="D252" s="217">
        <f>0.2*0.45*(1.62+1.95+2.9+8.05+7.55+3.8+3+1.46+2.9*4+4.4*2+4.62+6.68+2.81+1.5+1.2+2.75+13.64)+0.25*0.45*(5.78+5.37+7.65+5.35+12.62+7.87+9.045+5.45+1.55+5.35*2+9.2+1.1+5.13+2.37+2.95+4.55+2.35+2.05)+0.15*0.3*(1.55*12+2.9*6)</f>
        <v>20.545762500000002</v>
      </c>
      <c r="E252" s="25"/>
      <c r="F252" s="235"/>
      <c r="G252" s="89"/>
    </row>
    <row r="253" spans="1:7" x14ac:dyDescent="0.2">
      <c r="A253" s="234"/>
      <c r="B253" s="61" t="s">
        <v>816</v>
      </c>
      <c r="C253" s="25"/>
      <c r="D253" s="65"/>
      <c r="E253" s="25"/>
      <c r="F253" s="235"/>
      <c r="G253" s="89"/>
    </row>
    <row r="254" spans="1:7" ht="63.75" x14ac:dyDescent="0.2">
      <c r="A254" s="234"/>
      <c r="B254" s="26" t="s">
        <v>702</v>
      </c>
      <c r="C254" s="62"/>
      <c r="D254" s="29">
        <f>0.2*0.4*(6.45+7.4*4+1.2*3+2.7+22.17+7.55*4+4.8*2+3.67+0.8+12.4)+0.25*0.45*(2.65+4.65+15.95+3+9.05+1.2+7.4+12.7+5.75+4.95+10.17+4.95)+0.15*0.45*3.1*5+0.16*0.45*1.85</f>
        <v>20.146900000000002</v>
      </c>
      <c r="E254" s="25"/>
      <c r="F254" s="235"/>
      <c r="G254" s="89"/>
    </row>
    <row r="255" spans="1:7" x14ac:dyDescent="0.2">
      <c r="A255" s="234"/>
      <c r="B255" s="25"/>
      <c r="C255" s="25"/>
      <c r="D255" s="65"/>
      <c r="E255" s="25"/>
      <c r="F255" s="235"/>
      <c r="G255" s="89"/>
    </row>
    <row r="256" spans="1:7" x14ac:dyDescent="0.2">
      <c r="A256" s="234"/>
      <c r="B256" s="25" t="s">
        <v>817</v>
      </c>
      <c r="C256" s="27" t="s">
        <v>41</v>
      </c>
      <c r="D256" s="65">
        <f>SUM(D242:D254)</f>
        <v>104.94307500000001</v>
      </c>
      <c r="E256" s="30"/>
      <c r="F256" s="242">
        <f>D256*E256</f>
        <v>0</v>
      </c>
      <c r="G256" s="74">
        <f>100*D256</f>
        <v>10494.307500000001</v>
      </c>
    </row>
    <row r="257" spans="1:7" x14ac:dyDescent="0.2">
      <c r="A257" s="234"/>
      <c r="B257" s="25"/>
      <c r="C257" s="25"/>
      <c r="D257" s="65"/>
      <c r="E257" s="25"/>
      <c r="F257" s="235"/>
      <c r="G257" s="89"/>
    </row>
    <row r="258" spans="1:7" x14ac:dyDescent="0.2">
      <c r="A258" s="247" t="s">
        <v>818</v>
      </c>
      <c r="B258" s="25" t="s">
        <v>332</v>
      </c>
      <c r="C258" s="25"/>
      <c r="D258" s="65"/>
      <c r="E258" s="25"/>
      <c r="F258" s="235"/>
      <c r="G258" s="89"/>
    </row>
    <row r="259" spans="1:7" x14ac:dyDescent="0.2">
      <c r="A259" s="247"/>
      <c r="B259" s="25"/>
      <c r="C259" s="25"/>
      <c r="D259" s="65"/>
      <c r="E259" s="25"/>
      <c r="F259" s="235"/>
      <c r="G259" s="89"/>
    </row>
    <row r="260" spans="1:7" x14ac:dyDescent="0.2">
      <c r="A260" s="247"/>
      <c r="B260" s="25" t="s">
        <v>28</v>
      </c>
      <c r="C260" s="25"/>
      <c r="D260" s="65"/>
      <c r="E260" s="25"/>
      <c r="F260" s="235"/>
      <c r="G260" s="89"/>
    </row>
    <row r="261" spans="1:7" ht="51" x14ac:dyDescent="0.2">
      <c r="A261" s="248"/>
      <c r="B261" s="26" t="s">
        <v>747</v>
      </c>
      <c r="C261" s="25"/>
      <c r="D261" s="29">
        <f>0.25*0.2*(2.45+2.32+6+2.52+5.32*2+1.5+5.15+2.15*2+4.9+2.9+3.83+2.16+5.32+3.57+6.38+6+2.63)+0.2*0.2*4.54</f>
        <v>3.8100999999999998</v>
      </c>
      <c r="E261" s="30"/>
      <c r="F261" s="242"/>
      <c r="G261" s="89"/>
    </row>
    <row r="262" spans="1:7" x14ac:dyDescent="0.2">
      <c r="A262" s="248"/>
      <c r="B262" s="26"/>
      <c r="C262" s="25"/>
      <c r="D262" s="65"/>
      <c r="E262" s="30"/>
      <c r="F262" s="242"/>
      <c r="G262" s="89"/>
    </row>
    <row r="263" spans="1:7" x14ac:dyDescent="0.2">
      <c r="A263" s="248"/>
      <c r="B263" s="26" t="s">
        <v>746</v>
      </c>
      <c r="C263" s="25"/>
      <c r="D263" s="65"/>
      <c r="E263" s="30"/>
      <c r="F263" s="242"/>
      <c r="G263" s="89"/>
    </row>
    <row r="264" spans="1:7" ht="51" x14ac:dyDescent="0.2">
      <c r="A264" s="248"/>
      <c r="B264" s="26" t="s">
        <v>758</v>
      </c>
      <c r="C264" s="25"/>
      <c r="D264" s="29">
        <f>0.25*0.2*(2.45+2.32+6+2.52+5.32*2+1.5+5.15+2.15*2+4.9+2.9+3.83+2.16+5.32+3.57+6.38+6+2.63+2.65+4.55)</f>
        <v>3.9885000000000002</v>
      </c>
      <c r="E264" s="30"/>
      <c r="F264" s="242"/>
      <c r="G264" s="89"/>
    </row>
    <row r="265" spans="1:7" x14ac:dyDescent="0.2">
      <c r="A265" s="248"/>
      <c r="B265" s="26"/>
      <c r="C265" s="25"/>
      <c r="D265" s="65"/>
      <c r="E265" s="30"/>
      <c r="F265" s="242"/>
      <c r="G265" s="89"/>
    </row>
    <row r="266" spans="1:7" x14ac:dyDescent="0.2">
      <c r="A266" s="248"/>
      <c r="B266" s="26" t="s">
        <v>750</v>
      </c>
      <c r="C266" s="25"/>
      <c r="D266" s="65"/>
      <c r="E266" s="30"/>
      <c r="F266" s="242"/>
      <c r="G266" s="89"/>
    </row>
    <row r="267" spans="1:7" ht="51" x14ac:dyDescent="0.2">
      <c r="A267" s="355"/>
      <c r="B267" s="354" t="s">
        <v>759</v>
      </c>
      <c r="C267" s="347"/>
      <c r="D267" s="342">
        <f>2*0.25*0.2*(2.45+2.32+6+2.52+5.32*2+1.5+5.15+2.15*2+4.9+2.9+3.83+2.16+5.32+3.57+6.38+6+2.63+2.65+4.55)</f>
        <v>7.9770000000000003</v>
      </c>
      <c r="E267" s="359"/>
      <c r="F267" s="353"/>
      <c r="G267" s="89"/>
    </row>
    <row r="268" spans="1:7" x14ac:dyDescent="0.2">
      <c r="A268" s="248"/>
      <c r="B268" s="26"/>
      <c r="C268" s="25"/>
      <c r="D268" s="65"/>
      <c r="E268" s="30"/>
      <c r="F268" s="242"/>
      <c r="G268" s="89"/>
    </row>
    <row r="269" spans="1:7" x14ac:dyDescent="0.2">
      <c r="A269" s="248"/>
      <c r="B269" s="26" t="s">
        <v>776</v>
      </c>
      <c r="C269" s="25"/>
      <c r="D269" s="65"/>
      <c r="E269" s="30"/>
      <c r="F269" s="242"/>
      <c r="G269" s="89"/>
    </row>
    <row r="270" spans="1:7" ht="51" x14ac:dyDescent="0.2">
      <c r="A270" s="248"/>
      <c r="B270" s="26" t="s">
        <v>758</v>
      </c>
      <c r="C270" s="25"/>
      <c r="D270" s="29">
        <f>0.25*0.2*(2.45+2.32+6+2.52+5.32*2+1.5+5.15+2.15*2+4.9+2.9+3.83+2.16+5.32+3.57+6.38+6+2.63+2.65+4.55)</f>
        <v>3.9885000000000002</v>
      </c>
      <c r="E270" s="30"/>
      <c r="F270" s="242"/>
      <c r="G270" s="89"/>
    </row>
    <row r="271" spans="1:7" x14ac:dyDescent="0.2">
      <c r="A271" s="248"/>
      <c r="B271" s="26"/>
      <c r="C271" s="25"/>
      <c r="D271" s="65"/>
      <c r="E271" s="30"/>
      <c r="F271" s="242"/>
      <c r="G271" s="89"/>
    </row>
    <row r="272" spans="1:7" x14ac:dyDescent="0.2">
      <c r="A272" s="248"/>
      <c r="B272" s="26" t="s">
        <v>819</v>
      </c>
      <c r="C272" s="27" t="s">
        <v>41</v>
      </c>
      <c r="D272" s="65">
        <f>SUM(D261:D271)</f>
        <v>19.764099999999999</v>
      </c>
      <c r="E272" s="30"/>
      <c r="F272" s="242">
        <f>D272*E272</f>
        <v>0</v>
      </c>
      <c r="G272" s="74">
        <f>100*D272</f>
        <v>1976.4099999999999</v>
      </c>
    </row>
    <row r="273" spans="1:7" x14ac:dyDescent="0.2">
      <c r="A273" s="248"/>
      <c r="B273" s="26"/>
      <c r="C273" s="27"/>
      <c r="D273" s="29"/>
      <c r="E273" s="30"/>
      <c r="F273" s="242"/>
      <c r="G273" s="89"/>
    </row>
    <row r="274" spans="1:7" ht="63.75" x14ac:dyDescent="0.2">
      <c r="A274" s="234" t="s">
        <v>321</v>
      </c>
      <c r="B274" s="25" t="s">
        <v>790</v>
      </c>
      <c r="C274" s="27"/>
      <c r="D274" s="29"/>
      <c r="E274" s="30"/>
      <c r="F274" s="242"/>
      <c r="G274" s="89"/>
    </row>
    <row r="275" spans="1:7" ht="25.5" x14ac:dyDescent="0.2">
      <c r="A275" s="248"/>
      <c r="B275" s="108" t="s">
        <v>217</v>
      </c>
      <c r="C275" s="27"/>
      <c r="D275" s="29"/>
      <c r="E275" s="30"/>
      <c r="F275" s="242"/>
      <c r="G275" s="89"/>
    </row>
    <row r="276" spans="1:7" x14ac:dyDescent="0.2">
      <c r="A276" s="248"/>
      <c r="B276" s="26"/>
      <c r="C276" s="27"/>
      <c r="D276" s="29"/>
      <c r="E276" s="30"/>
      <c r="F276" s="242"/>
      <c r="G276" s="89"/>
    </row>
    <row r="277" spans="1:7" x14ac:dyDescent="0.2">
      <c r="A277" s="248"/>
      <c r="B277" s="26" t="s">
        <v>28</v>
      </c>
      <c r="C277" s="27"/>
      <c r="D277" s="29"/>
      <c r="E277" s="30"/>
      <c r="F277" s="242"/>
      <c r="G277" s="89"/>
    </row>
    <row r="278" spans="1:7" x14ac:dyDescent="0.2">
      <c r="A278" s="248"/>
      <c r="B278" s="26" t="s">
        <v>830</v>
      </c>
      <c r="C278" s="27"/>
      <c r="D278" s="217">
        <f>0.2*0.1*2.7*5</f>
        <v>0.27000000000000007</v>
      </c>
      <c r="E278" s="111"/>
      <c r="F278" s="242"/>
      <c r="G278" s="89"/>
    </row>
    <row r="279" spans="1:7" x14ac:dyDescent="0.2">
      <c r="A279" s="248"/>
      <c r="B279" s="26"/>
      <c r="C279" s="27"/>
      <c r="D279" s="29"/>
      <c r="E279" s="30"/>
      <c r="F279" s="242"/>
      <c r="G279" s="89"/>
    </row>
    <row r="280" spans="1:7" x14ac:dyDescent="0.2">
      <c r="A280" s="248"/>
      <c r="B280" s="26" t="s">
        <v>746</v>
      </c>
      <c r="C280" s="27"/>
      <c r="D280" s="29"/>
      <c r="E280" s="30"/>
      <c r="F280" s="242"/>
      <c r="G280" s="89"/>
    </row>
    <row r="281" spans="1:7" x14ac:dyDescent="0.2">
      <c r="A281" s="248"/>
      <c r="B281" s="26" t="s">
        <v>831</v>
      </c>
      <c r="C281" s="27"/>
      <c r="D281" s="29">
        <f>0.2*0.1*2.7*6</f>
        <v>0.32400000000000007</v>
      </c>
      <c r="E281" s="30"/>
      <c r="F281" s="242"/>
      <c r="G281" s="89"/>
    </row>
    <row r="282" spans="1:7" x14ac:dyDescent="0.2">
      <c r="A282" s="248"/>
      <c r="B282" s="26"/>
      <c r="C282" s="27"/>
      <c r="D282" s="29"/>
      <c r="E282" s="30"/>
      <c r="F282" s="242"/>
      <c r="G282" s="89"/>
    </row>
    <row r="283" spans="1:7" x14ac:dyDescent="0.2">
      <c r="A283" s="248"/>
      <c r="B283" s="26" t="s">
        <v>750</v>
      </c>
      <c r="C283" s="27"/>
      <c r="D283" s="29"/>
      <c r="E283" s="30"/>
      <c r="F283" s="242"/>
      <c r="G283" s="89"/>
    </row>
    <row r="284" spans="1:7" x14ac:dyDescent="0.2">
      <c r="A284" s="248"/>
      <c r="B284" s="60" t="s">
        <v>832</v>
      </c>
      <c r="C284" s="27"/>
      <c r="D284" s="29">
        <f>2*0.2*0.1*2.75*6</f>
        <v>0.66000000000000014</v>
      </c>
      <c r="E284" s="30"/>
      <c r="F284" s="242"/>
      <c r="G284" s="89"/>
    </row>
    <row r="285" spans="1:7" x14ac:dyDescent="0.2">
      <c r="A285" s="248"/>
      <c r="B285" s="60"/>
      <c r="C285" s="27"/>
      <c r="D285" s="29"/>
      <c r="E285" s="30"/>
      <c r="F285" s="242"/>
      <c r="G285" s="89"/>
    </row>
    <row r="286" spans="1:7" x14ac:dyDescent="0.2">
      <c r="A286" s="248"/>
      <c r="B286" s="60" t="s">
        <v>776</v>
      </c>
      <c r="C286" s="27"/>
      <c r="D286" s="29"/>
      <c r="E286" s="30"/>
      <c r="F286" s="242"/>
      <c r="G286" s="89"/>
    </row>
    <row r="287" spans="1:7" ht="25.5" x14ac:dyDescent="0.2">
      <c r="A287" s="248"/>
      <c r="B287" s="60" t="s">
        <v>833</v>
      </c>
      <c r="C287" s="27"/>
      <c r="D287" s="29">
        <f>0.2*0.1*(2.7*3*2+0.8*2+1+1.6+1+2.1*2)</f>
        <v>0.51200000000000023</v>
      </c>
      <c r="E287" s="30"/>
      <c r="F287" s="242"/>
      <c r="G287" s="89"/>
    </row>
    <row r="288" spans="1:7" x14ac:dyDescent="0.2">
      <c r="A288" s="247"/>
      <c r="B288" s="19"/>
      <c r="C288" s="25"/>
      <c r="D288" s="312"/>
      <c r="E288" s="25"/>
      <c r="F288" s="235"/>
      <c r="G288" s="89"/>
    </row>
    <row r="289" spans="1:9" x14ac:dyDescent="0.2">
      <c r="A289" s="234"/>
      <c r="B289" s="26" t="s">
        <v>820</v>
      </c>
      <c r="C289" s="27" t="s">
        <v>41</v>
      </c>
      <c r="D289" s="65">
        <f>SUM(D277:D288)</f>
        <v>1.7660000000000005</v>
      </c>
      <c r="E289" s="30"/>
      <c r="F289" s="242">
        <f>D289*E289</f>
        <v>0</v>
      </c>
    </row>
    <row r="290" spans="1:9" x14ac:dyDescent="0.2">
      <c r="A290" s="234"/>
      <c r="B290" s="74"/>
      <c r="C290" s="27"/>
      <c r="D290" s="65"/>
      <c r="E290" s="30"/>
      <c r="F290" s="242"/>
      <c r="G290" s="89"/>
    </row>
    <row r="291" spans="1:9" ht="63.75" x14ac:dyDescent="0.2">
      <c r="A291" s="234" t="s">
        <v>323</v>
      </c>
      <c r="B291" s="223" t="s">
        <v>1247</v>
      </c>
      <c r="C291" s="25"/>
      <c r="D291" s="65"/>
      <c r="E291" s="25"/>
      <c r="F291" s="235"/>
      <c r="H291" s="191"/>
      <c r="I291" s="191" t="s">
        <v>338</v>
      </c>
    </row>
    <row r="292" spans="1:9" ht="25.5" x14ac:dyDescent="0.2">
      <c r="A292" s="234"/>
      <c r="B292" s="223" t="s">
        <v>307</v>
      </c>
      <c r="C292" s="25"/>
      <c r="D292" s="65"/>
      <c r="E292" s="25"/>
      <c r="F292" s="235"/>
    </row>
    <row r="293" spans="1:9" ht="25.5" x14ac:dyDescent="0.2">
      <c r="A293" s="234"/>
      <c r="B293" s="168" t="s">
        <v>296</v>
      </c>
      <c r="C293" s="25"/>
      <c r="D293" s="65"/>
      <c r="E293" s="25"/>
      <c r="F293" s="235"/>
    </row>
    <row r="294" spans="1:9" x14ac:dyDescent="0.2">
      <c r="A294" s="234"/>
      <c r="B294" s="10"/>
      <c r="C294" s="25"/>
      <c r="D294" s="65"/>
      <c r="E294" s="25"/>
      <c r="F294" s="235"/>
    </row>
    <row r="295" spans="1:9" x14ac:dyDescent="0.2">
      <c r="A295" s="247" t="s">
        <v>1243</v>
      </c>
      <c r="B295" s="10" t="s">
        <v>1245</v>
      </c>
      <c r="C295" s="25"/>
      <c r="D295" s="65"/>
      <c r="E295" s="25"/>
      <c r="F295" s="235"/>
    </row>
    <row r="296" spans="1:9" x14ac:dyDescent="0.2">
      <c r="A296" s="247"/>
      <c r="B296" s="91" t="s">
        <v>1246</v>
      </c>
      <c r="C296" s="27" t="s">
        <v>41</v>
      </c>
      <c r="D296" s="323">
        <f>0.2*3.95*3.1</f>
        <v>2.4490000000000003</v>
      </c>
      <c r="E296" s="20"/>
      <c r="F296" s="250">
        <f>D296*E296</f>
        <v>0</v>
      </c>
      <c r="G296" s="74">
        <f>75*D296</f>
        <v>183.67500000000001</v>
      </c>
    </row>
    <row r="297" spans="1:9" x14ac:dyDescent="0.2">
      <c r="A297" s="247"/>
      <c r="B297" s="10"/>
      <c r="C297" s="25"/>
      <c r="D297" s="65"/>
      <c r="E297" s="25"/>
      <c r="F297" s="235"/>
    </row>
    <row r="298" spans="1:9" x14ac:dyDescent="0.2">
      <c r="A298" s="247" t="s">
        <v>1244</v>
      </c>
      <c r="B298" s="10" t="s">
        <v>1242</v>
      </c>
      <c r="C298" s="25"/>
      <c r="D298" s="65"/>
      <c r="E298" s="25"/>
      <c r="F298" s="235"/>
    </row>
    <row r="299" spans="1:9" x14ac:dyDescent="0.2">
      <c r="A299" s="234"/>
      <c r="B299" s="26" t="s">
        <v>961</v>
      </c>
      <c r="C299" s="27" t="s">
        <v>41</v>
      </c>
      <c r="D299" s="60">
        <f>0.18*(15.7+47.53)</f>
        <v>11.381400000000001</v>
      </c>
      <c r="E299" s="20"/>
      <c r="F299" s="250">
        <f>D299*E299</f>
        <v>0</v>
      </c>
      <c r="G299" s="74">
        <f>75*D299</f>
        <v>853.60500000000013</v>
      </c>
    </row>
    <row r="300" spans="1:9" x14ac:dyDescent="0.2">
      <c r="A300" s="234"/>
      <c r="B300" s="25"/>
      <c r="C300" s="27"/>
      <c r="D300" s="65"/>
      <c r="E300" s="30"/>
      <c r="F300" s="242"/>
      <c r="G300" s="89"/>
    </row>
    <row r="301" spans="1:9" ht="63.75" x14ac:dyDescent="0.2">
      <c r="A301" s="339" t="s">
        <v>325</v>
      </c>
      <c r="B301" s="361" t="s">
        <v>329</v>
      </c>
      <c r="C301" s="362"/>
      <c r="D301" s="348"/>
      <c r="E301" s="359"/>
      <c r="F301" s="353"/>
      <c r="G301" s="89"/>
      <c r="H301" s="136"/>
    </row>
    <row r="302" spans="1:9" x14ac:dyDescent="0.2">
      <c r="A302" s="234"/>
      <c r="B302" s="360"/>
      <c r="C302" s="27"/>
      <c r="D302" s="65"/>
      <c r="E302" s="30"/>
      <c r="F302" s="242"/>
      <c r="G302" s="89"/>
      <c r="H302" s="136"/>
    </row>
    <row r="303" spans="1:9" ht="25.5" x14ac:dyDescent="0.2">
      <c r="A303" s="234"/>
      <c r="B303" s="241" t="s">
        <v>307</v>
      </c>
      <c r="C303" s="27"/>
      <c r="D303" s="65"/>
      <c r="E303" s="30"/>
      <c r="F303" s="242"/>
      <c r="G303" s="89"/>
    </row>
    <row r="304" spans="1:9" ht="38.25" x14ac:dyDescent="0.2">
      <c r="A304" s="234"/>
      <c r="B304" s="108" t="s">
        <v>965</v>
      </c>
      <c r="C304" s="27"/>
      <c r="D304" s="65"/>
      <c r="E304" s="30"/>
      <c r="F304" s="242"/>
      <c r="G304" s="89"/>
    </row>
    <row r="305" spans="1:7" x14ac:dyDescent="0.2">
      <c r="A305" s="234"/>
      <c r="B305" s="25"/>
      <c r="C305" s="27"/>
      <c r="D305" s="65"/>
      <c r="E305" s="30"/>
      <c r="F305" s="242"/>
      <c r="G305" s="89"/>
    </row>
    <row r="306" spans="1:7" x14ac:dyDescent="0.2">
      <c r="A306" s="247" t="s">
        <v>910</v>
      </c>
      <c r="B306" s="25" t="s">
        <v>909</v>
      </c>
      <c r="C306" s="27"/>
      <c r="D306" s="65"/>
      <c r="E306" s="30"/>
      <c r="F306" s="242"/>
      <c r="G306" s="89"/>
    </row>
    <row r="307" spans="1:7" x14ac:dyDescent="0.2">
      <c r="A307" s="247"/>
      <c r="B307" s="25"/>
      <c r="C307" s="27"/>
      <c r="D307" s="65"/>
      <c r="E307" s="30"/>
      <c r="F307" s="242"/>
      <c r="G307" s="89"/>
    </row>
    <row r="308" spans="1:7" x14ac:dyDescent="0.2">
      <c r="A308" s="234"/>
      <c r="B308" s="25" t="s">
        <v>124</v>
      </c>
      <c r="C308" s="27"/>
      <c r="D308" s="65"/>
      <c r="E308" s="30"/>
      <c r="F308" s="242"/>
      <c r="G308" s="60"/>
    </row>
    <row r="309" spans="1:7" x14ac:dyDescent="0.2">
      <c r="A309" s="234"/>
      <c r="B309" s="60" t="s">
        <v>962</v>
      </c>
      <c r="C309" s="27"/>
      <c r="D309" s="29">
        <f>0.18*(279.2+343.88)</f>
        <v>112.15439999999998</v>
      </c>
      <c r="E309" s="30"/>
      <c r="F309" s="242"/>
      <c r="G309" s="60"/>
    </row>
    <row r="310" spans="1:7" ht="25.5" x14ac:dyDescent="0.2">
      <c r="A310" s="234"/>
      <c r="B310" s="26" t="s">
        <v>703</v>
      </c>
      <c r="C310" s="27"/>
      <c r="D310" s="29"/>
      <c r="E310" s="30"/>
      <c r="F310" s="242"/>
      <c r="G310" s="89"/>
    </row>
    <row r="311" spans="1:7" x14ac:dyDescent="0.2">
      <c r="A311" s="234"/>
      <c r="B311" s="60" t="s">
        <v>963</v>
      </c>
      <c r="C311" s="27"/>
      <c r="D311" s="29">
        <f>0.18*(256.25+393.25)*4</f>
        <v>467.64</v>
      </c>
      <c r="E311" s="30"/>
      <c r="F311" s="242"/>
      <c r="G311" s="60"/>
    </row>
    <row r="312" spans="1:7" x14ac:dyDescent="0.2">
      <c r="A312" s="234"/>
      <c r="B312" s="26" t="s">
        <v>704</v>
      </c>
      <c r="C312" s="27"/>
      <c r="D312" s="29"/>
      <c r="E312" s="30"/>
      <c r="F312" s="242"/>
      <c r="G312" s="89"/>
    </row>
    <row r="313" spans="1:7" x14ac:dyDescent="0.2">
      <c r="A313" s="234"/>
      <c r="B313" s="60" t="s">
        <v>964</v>
      </c>
      <c r="C313" s="27"/>
      <c r="D313" s="29">
        <f>0.18*(40.56+42.33+18.47*3+340.38)</f>
        <v>86.162399999999991</v>
      </c>
      <c r="E313" s="30"/>
      <c r="F313" s="242"/>
      <c r="G313" s="89"/>
    </row>
    <row r="314" spans="1:7" x14ac:dyDescent="0.2">
      <c r="A314" s="234"/>
      <c r="B314" s="26"/>
      <c r="C314" s="27"/>
      <c r="D314" s="29"/>
      <c r="E314" s="30"/>
      <c r="F314" s="242"/>
      <c r="G314" s="89"/>
    </row>
    <row r="315" spans="1:7" x14ac:dyDescent="0.2">
      <c r="A315" s="234"/>
      <c r="B315" s="26" t="s">
        <v>1157</v>
      </c>
      <c r="C315" s="27"/>
      <c r="D315" s="29"/>
      <c r="E315" s="30"/>
      <c r="F315" s="242"/>
      <c r="G315" s="89"/>
    </row>
    <row r="316" spans="1:7" x14ac:dyDescent="0.2">
      <c r="A316" s="234"/>
      <c r="B316" s="26" t="s">
        <v>1558</v>
      </c>
      <c r="C316" s="27"/>
      <c r="D316" s="29">
        <f>0.18*2.9*1.4</f>
        <v>0.73080000000000001</v>
      </c>
      <c r="E316" s="30"/>
      <c r="F316" s="242"/>
      <c r="G316" s="89"/>
    </row>
    <row r="317" spans="1:7" x14ac:dyDescent="0.2">
      <c r="A317" s="234"/>
      <c r="B317" s="26"/>
      <c r="C317" s="27"/>
      <c r="D317" s="29"/>
      <c r="E317" s="30"/>
      <c r="F317" s="242"/>
      <c r="G317" s="89"/>
    </row>
    <row r="318" spans="1:7" x14ac:dyDescent="0.2">
      <c r="A318" s="234"/>
      <c r="B318" s="26" t="s">
        <v>705</v>
      </c>
      <c r="C318" s="17" t="s">
        <v>41</v>
      </c>
      <c r="D318" s="18">
        <f>SUM(D309:D317)</f>
        <v>666.68759999999997</v>
      </c>
      <c r="E318" s="20"/>
      <c r="F318" s="242">
        <f>D318*E318</f>
        <v>0</v>
      </c>
      <c r="G318" s="74">
        <f>75*D318</f>
        <v>50001.57</v>
      </c>
    </row>
    <row r="319" spans="1:7" x14ac:dyDescent="0.2">
      <c r="A319" s="234"/>
      <c r="B319" s="26"/>
      <c r="C319" s="17"/>
      <c r="D319" s="18"/>
      <c r="E319" s="20"/>
      <c r="F319" s="242"/>
      <c r="G319" s="89"/>
    </row>
    <row r="320" spans="1:7" x14ac:dyDescent="0.2">
      <c r="A320" s="247" t="s">
        <v>912</v>
      </c>
      <c r="B320" s="25" t="s">
        <v>913</v>
      </c>
      <c r="C320" s="17"/>
      <c r="D320" s="18"/>
      <c r="E320" s="20"/>
      <c r="F320" s="242"/>
      <c r="G320" s="89"/>
    </row>
    <row r="321" spans="1:8" ht="25.5" x14ac:dyDescent="0.2">
      <c r="A321" s="234"/>
      <c r="B321" s="26" t="s">
        <v>1143</v>
      </c>
      <c r="C321" s="17" t="s">
        <v>41</v>
      </c>
      <c r="D321" s="29">
        <f>0.18*(15.63+5.2+9.8+13.92+14.83+5.14+3.11+14.3)/0.9348</f>
        <v>15.775994865211809</v>
      </c>
      <c r="E321" s="20"/>
      <c r="F321" s="242">
        <f>D321*E321</f>
        <v>0</v>
      </c>
      <c r="G321" s="74">
        <f>75*D321</f>
        <v>1183.1996148908856</v>
      </c>
    </row>
    <row r="322" spans="1:8" x14ac:dyDescent="0.2">
      <c r="A322" s="234"/>
      <c r="B322" s="25"/>
      <c r="C322" s="17"/>
      <c r="D322" s="18"/>
      <c r="E322" s="30"/>
      <c r="F322" s="242"/>
      <c r="G322" s="89"/>
    </row>
    <row r="323" spans="1:8" ht="63.75" x14ac:dyDescent="0.2">
      <c r="A323" s="234" t="s">
        <v>327</v>
      </c>
      <c r="B323" s="108" t="s">
        <v>801</v>
      </c>
      <c r="C323" s="27"/>
      <c r="D323" s="65"/>
      <c r="E323" s="30"/>
      <c r="F323" s="242"/>
      <c r="G323" s="89"/>
    </row>
    <row r="324" spans="1:8" ht="25.5" x14ac:dyDescent="0.2">
      <c r="A324" s="234"/>
      <c r="B324" s="241" t="s">
        <v>307</v>
      </c>
      <c r="C324" s="27"/>
      <c r="D324" s="65"/>
      <c r="E324" s="30"/>
      <c r="F324" s="242"/>
      <c r="G324" s="89"/>
    </row>
    <row r="325" spans="1:8" ht="38.25" x14ac:dyDescent="0.2">
      <c r="A325" s="234"/>
      <c r="B325" s="108" t="s">
        <v>267</v>
      </c>
      <c r="C325" s="27"/>
      <c r="D325" s="65"/>
      <c r="E325" s="30"/>
      <c r="F325" s="242"/>
      <c r="G325" s="89"/>
    </row>
    <row r="326" spans="1:8" x14ac:dyDescent="0.2">
      <c r="A326" s="234"/>
      <c r="B326" s="25"/>
      <c r="C326" s="27"/>
      <c r="D326" s="65"/>
      <c r="E326" s="30"/>
      <c r="F326" s="242"/>
      <c r="G326" s="89"/>
    </row>
    <row r="327" spans="1:8" x14ac:dyDescent="0.2">
      <c r="A327" s="234"/>
      <c r="B327" s="26" t="s">
        <v>966</v>
      </c>
      <c r="C327" s="17" t="s">
        <v>39</v>
      </c>
      <c r="D327" s="29">
        <f>0.2*1.95*2.92</f>
        <v>1.1388</v>
      </c>
      <c r="E327" s="20"/>
      <c r="F327" s="242">
        <f>D327*E327</f>
        <v>0</v>
      </c>
      <c r="G327" s="74">
        <f>75*D327</f>
        <v>85.41</v>
      </c>
    </row>
    <row r="328" spans="1:8" x14ac:dyDescent="0.2">
      <c r="A328" s="234"/>
      <c r="B328" s="25"/>
      <c r="C328" s="17"/>
      <c r="D328" s="18"/>
      <c r="E328" s="30"/>
      <c r="F328" s="242"/>
      <c r="G328" s="89"/>
    </row>
    <row r="329" spans="1:8" ht="63.75" x14ac:dyDescent="0.2">
      <c r="A329" s="234" t="s">
        <v>672</v>
      </c>
      <c r="B329" s="108" t="s">
        <v>369</v>
      </c>
      <c r="C329" s="27"/>
      <c r="D329" s="65"/>
      <c r="E329" s="30"/>
      <c r="F329" s="242"/>
      <c r="G329" s="89"/>
      <c r="H329" s="136"/>
    </row>
    <row r="330" spans="1:8" ht="25.5" x14ac:dyDescent="0.2">
      <c r="A330" s="234"/>
      <c r="B330" s="241" t="s">
        <v>307</v>
      </c>
      <c r="C330" s="27"/>
      <c r="D330" s="65"/>
      <c r="E330" s="30"/>
      <c r="F330" s="242"/>
      <c r="G330" s="89"/>
    </row>
    <row r="331" spans="1:8" ht="38.25" x14ac:dyDescent="0.2">
      <c r="A331" s="234"/>
      <c r="B331" s="108" t="s">
        <v>965</v>
      </c>
      <c r="C331" s="27"/>
      <c r="D331" s="65"/>
      <c r="E331" s="30"/>
      <c r="F331" s="242"/>
      <c r="G331" s="89"/>
    </row>
    <row r="332" spans="1:8" x14ac:dyDescent="0.2">
      <c r="A332" s="234"/>
      <c r="B332" s="25"/>
      <c r="C332" s="27"/>
      <c r="D332" s="65"/>
      <c r="E332" s="30"/>
      <c r="F332" s="242"/>
      <c r="G332" s="89"/>
    </row>
    <row r="333" spans="1:8" x14ac:dyDescent="0.2">
      <c r="A333" s="339"/>
      <c r="B333" s="347" t="s">
        <v>368</v>
      </c>
      <c r="C333" s="362"/>
      <c r="D333" s="348"/>
      <c r="E333" s="359"/>
      <c r="F333" s="353"/>
      <c r="G333" s="89"/>
    </row>
    <row r="334" spans="1:8" x14ac:dyDescent="0.2">
      <c r="A334" s="234"/>
      <c r="B334" s="25"/>
      <c r="C334" s="27"/>
      <c r="D334" s="65"/>
      <c r="E334" s="30"/>
      <c r="F334" s="242"/>
      <c r="G334" s="89"/>
    </row>
    <row r="335" spans="1:8" x14ac:dyDescent="0.2">
      <c r="A335" s="234"/>
      <c r="B335" s="25" t="s">
        <v>28</v>
      </c>
      <c r="C335" s="27"/>
      <c r="D335" s="65"/>
      <c r="E335" s="30"/>
      <c r="F335" s="242"/>
      <c r="G335" s="89"/>
    </row>
    <row r="336" spans="1:8" ht="25.5" x14ac:dyDescent="0.2">
      <c r="A336" s="234"/>
      <c r="B336" s="26" t="s">
        <v>967</v>
      </c>
      <c r="C336" s="27"/>
      <c r="D336" s="217">
        <f>0.15*(2.1*1.35+1.25*1.95+1.25*1.95+1.75*3.05+1.4*2.9*5)</f>
        <v>5.0021249999999995</v>
      </c>
      <c r="E336" s="30"/>
      <c r="F336" s="242"/>
      <c r="G336" s="89"/>
    </row>
    <row r="337" spans="1:8" x14ac:dyDescent="0.2">
      <c r="A337" s="234"/>
      <c r="B337" s="26"/>
      <c r="C337" s="27"/>
      <c r="D337" s="103"/>
      <c r="E337" s="30"/>
      <c r="F337" s="242"/>
      <c r="G337" s="89"/>
    </row>
    <row r="338" spans="1:8" x14ac:dyDescent="0.2">
      <c r="A338" s="234"/>
      <c r="B338" s="25" t="s">
        <v>822</v>
      </c>
      <c r="C338" s="27"/>
      <c r="D338" s="103"/>
      <c r="E338" s="30"/>
      <c r="F338" s="242"/>
      <c r="G338" s="89"/>
    </row>
    <row r="339" spans="1:8" ht="25.5" x14ac:dyDescent="0.2">
      <c r="A339" s="234"/>
      <c r="B339" s="26" t="s">
        <v>968</v>
      </c>
      <c r="C339" s="27"/>
      <c r="D339" s="217">
        <f>0.15*3*(2.1*1.35+1.25*1.95+1.25*1.95+1.75*3.05+1.4*2.9*6)</f>
        <v>16.833374999999997</v>
      </c>
      <c r="E339" s="30"/>
      <c r="F339" s="242"/>
      <c r="G339" s="89"/>
    </row>
    <row r="340" spans="1:8" x14ac:dyDescent="0.2">
      <c r="A340" s="234"/>
      <c r="B340" s="25"/>
      <c r="C340" s="27"/>
      <c r="D340" s="103"/>
      <c r="E340" s="30"/>
      <c r="F340" s="242"/>
      <c r="G340" s="89"/>
    </row>
    <row r="341" spans="1:8" x14ac:dyDescent="0.2">
      <c r="A341" s="234"/>
      <c r="B341" s="26" t="s">
        <v>776</v>
      </c>
      <c r="C341" s="27"/>
      <c r="D341" s="103"/>
      <c r="E341" s="30"/>
      <c r="F341" s="242"/>
      <c r="G341" s="89"/>
    </row>
    <row r="342" spans="1:8" ht="25.5" x14ac:dyDescent="0.2">
      <c r="A342" s="234"/>
      <c r="B342" s="26" t="s">
        <v>969</v>
      </c>
      <c r="C342" s="27"/>
      <c r="D342" s="217">
        <f>0.15*(2.1*1.35+1.25*1.95+1.25*1.95+1.75*3.05+1.4*2.9*6)</f>
        <v>5.6111249999999995</v>
      </c>
      <c r="E342" s="30"/>
      <c r="F342" s="242"/>
      <c r="G342" s="89"/>
    </row>
    <row r="343" spans="1:8" x14ac:dyDescent="0.2">
      <c r="A343" s="234"/>
      <c r="B343" s="25"/>
      <c r="C343" s="27"/>
      <c r="D343" s="65"/>
      <c r="E343" s="30"/>
      <c r="F343" s="242"/>
      <c r="G343" s="89"/>
    </row>
    <row r="344" spans="1:8" x14ac:dyDescent="0.2">
      <c r="A344" s="234"/>
      <c r="B344" s="26" t="s">
        <v>823</v>
      </c>
      <c r="C344" s="17" t="s">
        <v>41</v>
      </c>
      <c r="D344" s="18">
        <f>SUM(D336:D343)</f>
        <v>27.446624999999997</v>
      </c>
      <c r="E344" s="30"/>
      <c r="F344" s="242">
        <f>D344*E344</f>
        <v>0</v>
      </c>
      <c r="G344" s="74">
        <f>75*D344</f>
        <v>2058.4968749999998</v>
      </c>
    </row>
    <row r="345" spans="1:8" x14ac:dyDescent="0.2">
      <c r="A345" s="234"/>
      <c r="B345" s="26"/>
      <c r="C345" s="17"/>
      <c r="D345" s="18"/>
      <c r="E345" s="30"/>
      <c r="F345" s="242"/>
      <c r="G345" s="89"/>
    </row>
    <row r="346" spans="1:8" ht="76.5" x14ac:dyDescent="0.2">
      <c r="A346" s="234" t="s">
        <v>673</v>
      </c>
      <c r="B346" s="30" t="s">
        <v>328</v>
      </c>
      <c r="C346" s="27"/>
      <c r="D346" s="65"/>
      <c r="E346" s="30"/>
      <c r="F346" s="242"/>
      <c r="G346" s="89"/>
    </row>
    <row r="347" spans="1:8" ht="25.5" x14ac:dyDescent="0.2">
      <c r="A347" s="234"/>
      <c r="B347" s="30" t="s">
        <v>794</v>
      </c>
      <c r="C347" s="27"/>
      <c r="D347" s="65"/>
      <c r="E347" s="30"/>
      <c r="F347" s="242"/>
      <c r="G347" s="89"/>
    </row>
    <row r="348" spans="1:8" ht="25.5" x14ac:dyDescent="0.2">
      <c r="A348" s="234"/>
      <c r="B348" s="30" t="s">
        <v>307</v>
      </c>
      <c r="C348" s="27"/>
      <c r="D348" s="65"/>
      <c r="E348" s="30"/>
      <c r="F348" s="242"/>
      <c r="G348" s="89"/>
    </row>
    <row r="349" spans="1:8" ht="38.25" x14ac:dyDescent="0.2">
      <c r="A349" s="234"/>
      <c r="B349" s="30" t="s">
        <v>324</v>
      </c>
      <c r="C349" s="27"/>
      <c r="D349" s="65"/>
      <c r="E349" s="30"/>
      <c r="F349" s="242"/>
      <c r="G349" s="89"/>
    </row>
    <row r="350" spans="1:8" x14ac:dyDescent="0.2">
      <c r="A350" s="234"/>
      <c r="B350" s="25"/>
      <c r="C350" s="27"/>
      <c r="D350" s="65"/>
      <c r="E350" s="30"/>
      <c r="F350" s="242"/>
      <c r="G350" s="89"/>
    </row>
    <row r="351" spans="1:8" x14ac:dyDescent="0.2">
      <c r="A351" s="251" t="s">
        <v>795</v>
      </c>
      <c r="B351" s="26" t="s">
        <v>347</v>
      </c>
      <c r="C351" s="17"/>
      <c r="D351" s="18"/>
      <c r="E351" s="30"/>
      <c r="F351" s="242">
        <f>D351*E351</f>
        <v>0</v>
      </c>
      <c r="G351" s="89"/>
      <c r="H351" s="192"/>
    </row>
    <row r="352" spans="1:8" x14ac:dyDescent="0.2">
      <c r="A352" s="252"/>
      <c r="B352" s="26" t="s">
        <v>798</v>
      </c>
      <c r="C352" s="17" t="s">
        <v>39</v>
      </c>
      <c r="D352" s="29">
        <f>3.073*1.37*8</f>
        <v>33.680080000000004</v>
      </c>
      <c r="E352" s="30"/>
      <c r="F352" s="242">
        <f>D352*E352</f>
        <v>0</v>
      </c>
      <c r="G352" s="74">
        <f>D352*15</f>
        <v>505.20120000000009</v>
      </c>
      <c r="H352" s="192"/>
    </row>
    <row r="353" spans="1:10" x14ac:dyDescent="0.2">
      <c r="A353" s="252"/>
      <c r="B353" s="26"/>
      <c r="C353" s="17"/>
      <c r="D353" s="18"/>
      <c r="E353" s="30"/>
      <c r="F353" s="242"/>
      <c r="G353" s="89"/>
      <c r="H353" s="192"/>
    </row>
    <row r="354" spans="1:10" x14ac:dyDescent="0.2">
      <c r="A354" s="251" t="s">
        <v>796</v>
      </c>
      <c r="B354" s="26" t="s">
        <v>797</v>
      </c>
      <c r="C354" s="17"/>
      <c r="D354" s="18"/>
      <c r="E354" s="30"/>
      <c r="F354" s="242"/>
      <c r="G354" s="89"/>
      <c r="H354" s="192"/>
    </row>
    <row r="355" spans="1:10" x14ac:dyDescent="0.2">
      <c r="A355" s="234"/>
      <c r="B355" s="26" t="s">
        <v>799</v>
      </c>
      <c r="C355" s="17" t="s">
        <v>39</v>
      </c>
      <c r="D355" s="29">
        <f>3*1.35*4</f>
        <v>16.200000000000003</v>
      </c>
      <c r="E355" s="30"/>
      <c r="F355" s="242">
        <f>D355*E355</f>
        <v>0</v>
      </c>
      <c r="G355" s="74">
        <f>15*D355</f>
        <v>243.00000000000006</v>
      </c>
      <c r="H355" s="192"/>
    </row>
    <row r="356" spans="1:10" x14ac:dyDescent="0.2">
      <c r="A356" s="234"/>
      <c r="B356" s="26"/>
      <c r="C356" s="17"/>
      <c r="D356" s="18"/>
      <c r="E356" s="30"/>
      <c r="F356" s="242"/>
      <c r="G356" s="89"/>
      <c r="H356" s="192"/>
    </row>
    <row r="357" spans="1:10" ht="76.5" x14ac:dyDescent="0.2">
      <c r="A357" s="234" t="s">
        <v>674</v>
      </c>
      <c r="B357" s="30" t="s">
        <v>330</v>
      </c>
      <c r="C357" s="27"/>
      <c r="D357" s="65"/>
      <c r="E357" s="30"/>
      <c r="F357" s="242"/>
      <c r="G357" s="89"/>
    </row>
    <row r="358" spans="1:10" ht="25.5" x14ac:dyDescent="0.2">
      <c r="A358" s="234"/>
      <c r="B358" s="30" t="s">
        <v>307</v>
      </c>
      <c r="C358" s="27"/>
      <c r="D358" s="65"/>
      <c r="E358" s="30"/>
      <c r="F358" s="242"/>
      <c r="G358" s="89"/>
    </row>
    <row r="359" spans="1:10" ht="38.25" x14ac:dyDescent="0.2">
      <c r="A359" s="234"/>
      <c r="B359" s="30" t="s">
        <v>324</v>
      </c>
      <c r="C359" s="27"/>
      <c r="D359" s="65"/>
      <c r="E359" s="30"/>
      <c r="F359" s="242"/>
      <c r="G359" s="89"/>
    </row>
    <row r="360" spans="1:10" x14ac:dyDescent="0.2">
      <c r="A360" s="234"/>
      <c r="B360" s="25"/>
      <c r="C360" s="27"/>
      <c r="D360" s="65"/>
      <c r="E360" s="30"/>
      <c r="F360" s="242"/>
      <c r="G360" s="89"/>
    </row>
    <row r="361" spans="1:10" x14ac:dyDescent="0.2">
      <c r="A361" s="247" t="s">
        <v>677</v>
      </c>
      <c r="B361" s="25" t="s">
        <v>347</v>
      </c>
      <c r="C361" s="27"/>
      <c r="D361" s="65"/>
      <c r="E361" s="30"/>
      <c r="F361" s="242"/>
      <c r="G361" s="89"/>
      <c r="H361" s="193"/>
    </row>
    <row r="362" spans="1:10" x14ac:dyDescent="0.2">
      <c r="A362" s="234"/>
      <c r="B362" s="25" t="s">
        <v>326</v>
      </c>
      <c r="C362" s="27"/>
      <c r="D362" s="65"/>
      <c r="E362" s="30"/>
      <c r="F362" s="242"/>
      <c r="G362" s="89"/>
      <c r="H362" s="192"/>
    </row>
    <row r="363" spans="1:10" x14ac:dyDescent="0.2">
      <c r="A363" s="339"/>
      <c r="B363" s="354" t="s">
        <v>792</v>
      </c>
      <c r="C363" s="363" t="s">
        <v>39</v>
      </c>
      <c r="D363" s="342">
        <f>1.677*2.85</f>
        <v>4.7794500000000006</v>
      </c>
      <c r="E363" s="359"/>
      <c r="F363" s="353">
        <f>D363*E363</f>
        <v>0</v>
      </c>
      <c r="G363" s="74">
        <f>75*D363*0.15</f>
        <v>53.76881250000001</v>
      </c>
      <c r="H363" s="192"/>
    </row>
    <row r="364" spans="1:10" x14ac:dyDescent="0.2">
      <c r="A364" s="234"/>
      <c r="B364" s="25"/>
      <c r="C364" s="27"/>
      <c r="D364" s="65"/>
      <c r="E364" s="30"/>
      <c r="F364" s="242"/>
      <c r="G364" s="89"/>
    </row>
    <row r="365" spans="1:10" ht="25.5" x14ac:dyDescent="0.2">
      <c r="A365" s="247" t="s">
        <v>800</v>
      </c>
      <c r="B365" s="25" t="s">
        <v>348</v>
      </c>
      <c r="C365" s="27"/>
      <c r="D365" s="65"/>
      <c r="E365" s="30"/>
      <c r="F365" s="242"/>
      <c r="G365" s="89"/>
    </row>
    <row r="366" spans="1:10" x14ac:dyDescent="0.2">
      <c r="A366" s="234"/>
      <c r="B366" s="26" t="s">
        <v>793</v>
      </c>
      <c r="C366" s="17" t="s">
        <v>39</v>
      </c>
      <c r="D366" s="29">
        <f>2.8*3.48</f>
        <v>9.7439999999999998</v>
      </c>
      <c r="E366" s="30"/>
      <c r="F366" s="242">
        <f>D366*E366</f>
        <v>0</v>
      </c>
      <c r="G366" s="74">
        <f>75*D366*0.15</f>
        <v>109.61999999999999</v>
      </c>
    </row>
    <row r="367" spans="1:10" x14ac:dyDescent="0.2">
      <c r="A367" s="234"/>
      <c r="B367" s="25"/>
      <c r="C367" s="27"/>
      <c r="D367" s="65"/>
      <c r="E367" s="30"/>
      <c r="F367" s="242"/>
      <c r="G367" s="89"/>
    </row>
    <row r="368" spans="1:10" s="74" customFormat="1" ht="51" x14ac:dyDescent="0.2">
      <c r="A368" s="234" t="s">
        <v>802</v>
      </c>
      <c r="B368" s="30" t="s">
        <v>346</v>
      </c>
      <c r="C368" s="25"/>
      <c r="D368" s="65"/>
      <c r="E368" s="25"/>
      <c r="F368" s="235"/>
      <c r="J368" s="80"/>
    </row>
    <row r="369" spans="1:10" s="74" customFormat="1" ht="38.25" x14ac:dyDescent="0.2">
      <c r="A369" s="234"/>
      <c r="B369" s="30" t="s">
        <v>336</v>
      </c>
      <c r="C369" s="25"/>
      <c r="D369" s="65"/>
      <c r="E369" s="25"/>
      <c r="F369" s="235"/>
      <c r="J369" s="80"/>
    </row>
    <row r="370" spans="1:10" s="74" customFormat="1" ht="25.5" x14ac:dyDescent="0.2">
      <c r="A370" s="234"/>
      <c r="B370" s="223" t="s">
        <v>307</v>
      </c>
      <c r="C370" s="25"/>
      <c r="D370" s="65"/>
      <c r="E370" s="25"/>
      <c r="F370" s="235"/>
      <c r="J370" s="80"/>
    </row>
    <row r="371" spans="1:10" s="74" customFormat="1" ht="25.5" x14ac:dyDescent="0.2">
      <c r="A371" s="234"/>
      <c r="B371" s="30" t="s">
        <v>318</v>
      </c>
      <c r="C371" s="25"/>
      <c r="D371" s="65"/>
      <c r="E371" s="25"/>
      <c r="F371" s="235"/>
      <c r="J371" s="80"/>
    </row>
    <row r="372" spans="1:10" s="74" customFormat="1" x14ac:dyDescent="0.2">
      <c r="A372" s="234"/>
      <c r="B372" s="30"/>
      <c r="C372" s="25"/>
      <c r="D372" s="65"/>
      <c r="E372" s="25"/>
      <c r="F372" s="235"/>
      <c r="J372" s="80"/>
    </row>
    <row r="373" spans="1:10" s="74" customFormat="1" x14ac:dyDescent="0.2">
      <c r="A373" s="234"/>
      <c r="B373" s="30" t="s">
        <v>671</v>
      </c>
      <c r="C373" s="25"/>
      <c r="D373" s="65"/>
      <c r="E373" s="23"/>
      <c r="F373" s="235"/>
      <c r="J373" s="80"/>
    </row>
    <row r="374" spans="1:10" s="74" customFormat="1" x14ac:dyDescent="0.2">
      <c r="A374" s="234"/>
      <c r="B374" s="66" t="s">
        <v>791</v>
      </c>
      <c r="C374" s="17" t="s">
        <v>39</v>
      </c>
      <c r="D374" s="320">
        <f>(8.06+8.15)*1.08</f>
        <v>17.506800000000002</v>
      </c>
      <c r="E374" s="18"/>
      <c r="F374" s="249">
        <f>+D374*E374</f>
        <v>0</v>
      </c>
      <c r="G374" s="74">
        <f>15*D374</f>
        <v>262.60200000000003</v>
      </c>
      <c r="J374" s="80"/>
    </row>
    <row r="375" spans="1:10" s="74" customFormat="1" x14ac:dyDescent="0.2">
      <c r="A375" s="234"/>
      <c r="B375" s="26"/>
      <c r="C375" s="27"/>
      <c r="D375" s="65"/>
      <c r="E375" s="30"/>
      <c r="F375" s="242"/>
      <c r="J375" s="80"/>
    </row>
    <row r="376" spans="1:10" s="74" customFormat="1" ht="38.25" x14ac:dyDescent="0.2">
      <c r="A376" s="234" t="s">
        <v>675</v>
      </c>
      <c r="B376" s="26" t="s">
        <v>959</v>
      </c>
      <c r="C376" s="27"/>
      <c r="D376" s="65"/>
      <c r="E376" s="30"/>
      <c r="F376" s="242"/>
      <c r="J376" s="80"/>
    </row>
    <row r="377" spans="1:10" s="74" customFormat="1" x14ac:dyDescent="0.2">
      <c r="A377" s="234"/>
      <c r="B377" s="74" t="s">
        <v>367</v>
      </c>
      <c r="C377" s="27"/>
      <c r="D377" s="65"/>
      <c r="E377" s="30"/>
      <c r="F377" s="242"/>
      <c r="J377" s="80"/>
    </row>
    <row r="378" spans="1:10" s="74" customFormat="1" ht="51" x14ac:dyDescent="0.2">
      <c r="A378" s="234"/>
      <c r="B378" s="26" t="s">
        <v>960</v>
      </c>
      <c r="C378" s="27"/>
      <c r="D378" s="65"/>
      <c r="E378" s="30"/>
      <c r="F378" s="242"/>
      <c r="J378" s="80"/>
    </row>
    <row r="379" spans="1:10" s="74" customFormat="1" ht="25.5" x14ac:dyDescent="0.2">
      <c r="A379" s="234"/>
      <c r="B379" s="30" t="s">
        <v>973</v>
      </c>
      <c r="C379" s="27"/>
      <c r="D379" s="65"/>
      <c r="E379" s="30"/>
      <c r="F379" s="242"/>
      <c r="J379" s="80"/>
    </row>
    <row r="380" spans="1:10" s="74" customFormat="1" x14ac:dyDescent="0.2">
      <c r="A380" s="234"/>
      <c r="B380" s="26"/>
      <c r="C380" s="27"/>
      <c r="D380" s="65"/>
      <c r="E380" s="30"/>
      <c r="F380" s="242"/>
      <c r="J380" s="80"/>
    </row>
    <row r="381" spans="1:10" s="74" customFormat="1" ht="25.5" x14ac:dyDescent="0.2">
      <c r="A381" s="247" t="s">
        <v>971</v>
      </c>
      <c r="B381" s="26" t="s">
        <v>970</v>
      </c>
      <c r="C381" s="27"/>
      <c r="D381" s="65"/>
      <c r="E381" s="30"/>
      <c r="F381" s="242"/>
      <c r="J381" s="80"/>
    </row>
    <row r="382" spans="1:10" s="74" customFormat="1" x14ac:dyDescent="0.2">
      <c r="A382" s="234"/>
      <c r="B382" s="26" t="s">
        <v>1283</v>
      </c>
      <c r="C382" s="17" t="s">
        <v>39</v>
      </c>
      <c r="D382" s="29">
        <f>1.15*0.85</f>
        <v>0.97749999999999992</v>
      </c>
      <c r="E382" s="18"/>
      <c r="F382" s="249">
        <f>+D382*E382</f>
        <v>0</v>
      </c>
      <c r="G382" s="10">
        <f>15*D382</f>
        <v>14.6625</v>
      </c>
      <c r="J382" s="80"/>
    </row>
    <row r="383" spans="1:10" s="74" customFormat="1" x14ac:dyDescent="0.2">
      <c r="A383" s="234"/>
      <c r="B383" s="26"/>
      <c r="C383" s="27"/>
      <c r="D383" s="65"/>
      <c r="E383" s="30"/>
      <c r="F383" s="242"/>
      <c r="G383" s="89"/>
      <c r="J383" s="80"/>
    </row>
    <row r="384" spans="1:10" s="74" customFormat="1" ht="25.5" x14ac:dyDescent="0.2">
      <c r="A384" s="247" t="s">
        <v>972</v>
      </c>
      <c r="B384" s="26" t="s">
        <v>970</v>
      </c>
      <c r="C384" s="27"/>
      <c r="D384" s="65"/>
      <c r="E384" s="30"/>
      <c r="F384" s="242"/>
      <c r="G384" s="89"/>
      <c r="J384" s="80"/>
    </row>
    <row r="385" spans="1:10" s="74" customFormat="1" x14ac:dyDescent="0.2">
      <c r="A385" s="234"/>
      <c r="B385" s="26" t="s">
        <v>1284</v>
      </c>
      <c r="C385" s="17" t="s">
        <v>39</v>
      </c>
      <c r="D385" s="29">
        <f>1.4*(1.15*2+0.85*2)</f>
        <v>5.6</v>
      </c>
      <c r="E385" s="18"/>
      <c r="F385" s="249">
        <f>+D385*E385</f>
        <v>0</v>
      </c>
      <c r="G385" s="10">
        <f>15*D385</f>
        <v>84</v>
      </c>
      <c r="J385" s="80"/>
    </row>
    <row r="386" spans="1:10" s="74" customFormat="1" x14ac:dyDescent="0.2">
      <c r="A386" s="234"/>
      <c r="B386" s="26"/>
      <c r="C386" s="27"/>
      <c r="D386" s="65"/>
      <c r="E386" s="30"/>
      <c r="F386" s="242"/>
      <c r="J386" s="80"/>
    </row>
    <row r="387" spans="1:10" s="74" customFormat="1" ht="25.5" x14ac:dyDescent="0.2">
      <c r="A387" s="247" t="s">
        <v>974</v>
      </c>
      <c r="B387" s="26" t="s">
        <v>975</v>
      </c>
      <c r="C387" s="27"/>
      <c r="D387" s="65"/>
      <c r="E387" s="30"/>
      <c r="F387" s="242"/>
      <c r="J387" s="80"/>
    </row>
    <row r="388" spans="1:10" s="74" customFormat="1" x14ac:dyDescent="0.2">
      <c r="A388" s="339"/>
      <c r="B388" s="354" t="s">
        <v>1283</v>
      </c>
      <c r="C388" s="363" t="s">
        <v>39</v>
      </c>
      <c r="D388" s="342">
        <f>1.15*0.85</f>
        <v>0.97749999999999992</v>
      </c>
      <c r="E388" s="364"/>
      <c r="F388" s="344">
        <f>+D388*E388</f>
        <v>0</v>
      </c>
      <c r="G388" s="10">
        <f>15*D388</f>
        <v>14.6625</v>
      </c>
      <c r="J388" s="80"/>
    </row>
    <row r="389" spans="1:10" s="74" customFormat="1" x14ac:dyDescent="0.2">
      <c r="A389" s="234"/>
      <c r="B389" s="26"/>
      <c r="C389" s="27"/>
      <c r="D389" s="65"/>
      <c r="E389" s="30"/>
      <c r="F389" s="242"/>
      <c r="G389" s="89"/>
      <c r="J389" s="80"/>
    </row>
    <row r="390" spans="1:10" s="74" customFormat="1" ht="51" x14ac:dyDescent="0.2">
      <c r="A390" s="234" t="s">
        <v>958</v>
      </c>
      <c r="B390" s="26" t="s">
        <v>976</v>
      </c>
      <c r="C390" s="27"/>
      <c r="D390" s="65"/>
      <c r="E390" s="30"/>
      <c r="F390" s="242"/>
      <c r="G390" s="89"/>
      <c r="J390" s="80"/>
    </row>
    <row r="391" spans="1:10" s="74" customFormat="1" x14ac:dyDescent="0.2">
      <c r="A391" s="234"/>
      <c r="B391" s="74" t="s">
        <v>367</v>
      </c>
      <c r="C391" s="27"/>
      <c r="D391" s="65"/>
      <c r="E391" s="30"/>
      <c r="F391" s="242"/>
      <c r="G391" s="10">
        <f>15*D391</f>
        <v>0</v>
      </c>
      <c r="J391" s="80"/>
    </row>
    <row r="392" spans="1:10" s="74" customFormat="1" ht="51" x14ac:dyDescent="0.2">
      <c r="A392" s="234"/>
      <c r="B392" s="26" t="s">
        <v>960</v>
      </c>
      <c r="C392" s="27"/>
      <c r="D392" s="65"/>
      <c r="E392" s="30"/>
      <c r="F392" s="242"/>
      <c r="J392" s="80"/>
    </row>
    <row r="393" spans="1:10" s="74" customFormat="1" ht="25.5" x14ac:dyDescent="0.2">
      <c r="A393" s="234"/>
      <c r="B393" s="30" t="s">
        <v>982</v>
      </c>
      <c r="C393" s="27"/>
      <c r="D393" s="65"/>
      <c r="E393" s="30"/>
      <c r="F393" s="242"/>
      <c r="J393" s="80"/>
    </row>
    <row r="394" spans="1:10" s="74" customFormat="1" x14ac:dyDescent="0.2">
      <c r="A394" s="234"/>
      <c r="B394" s="26"/>
      <c r="C394" s="27"/>
      <c r="D394" s="65"/>
      <c r="E394" s="30"/>
      <c r="F394" s="242"/>
      <c r="J394" s="80"/>
    </row>
    <row r="395" spans="1:10" s="74" customFormat="1" x14ac:dyDescent="0.2">
      <c r="A395" s="247" t="s">
        <v>977</v>
      </c>
      <c r="B395" s="26" t="s">
        <v>980</v>
      </c>
      <c r="C395" s="27"/>
      <c r="D395" s="65"/>
      <c r="E395" s="30"/>
      <c r="F395" s="242"/>
      <c r="J395" s="80"/>
    </row>
    <row r="396" spans="1:10" s="74" customFormat="1" x14ac:dyDescent="0.2">
      <c r="A396" s="247"/>
      <c r="B396" s="26" t="s">
        <v>1248</v>
      </c>
      <c r="C396" s="62" t="s">
        <v>41</v>
      </c>
      <c r="D396" s="29">
        <f>0.18*(14.37+107.9)</f>
        <v>22.008600000000001</v>
      </c>
      <c r="E396" s="18"/>
      <c r="F396" s="249">
        <f>+D396*E396</f>
        <v>0</v>
      </c>
      <c r="G396" s="10">
        <f>75*D396</f>
        <v>1650.645</v>
      </c>
      <c r="J396" s="80"/>
    </row>
    <row r="397" spans="1:10" s="74" customFormat="1" x14ac:dyDescent="0.2">
      <c r="A397" s="247"/>
      <c r="B397" s="26"/>
      <c r="C397" s="62"/>
      <c r="D397" s="65"/>
      <c r="E397" s="30"/>
      <c r="F397" s="242"/>
      <c r="G397" s="89"/>
      <c r="J397" s="80"/>
    </row>
    <row r="398" spans="1:10" s="74" customFormat="1" x14ac:dyDescent="0.2">
      <c r="A398" s="247" t="s">
        <v>978</v>
      </c>
      <c r="B398" s="26" t="s">
        <v>981</v>
      </c>
      <c r="C398" s="62"/>
      <c r="D398" s="65"/>
      <c r="E398" s="30"/>
      <c r="F398" s="242"/>
      <c r="G398" s="89"/>
      <c r="J398" s="80"/>
    </row>
    <row r="399" spans="1:10" s="74" customFormat="1" ht="25.5" x14ac:dyDescent="0.2">
      <c r="A399" s="247"/>
      <c r="B399" s="26" t="s">
        <v>1250</v>
      </c>
      <c r="C399" s="62" t="s">
        <v>41</v>
      </c>
      <c r="D399" s="217">
        <f>0.1*1.5*(1.94+6.37+4.9+2.15*2+5.15*2+5.78+5.77+6.35)</f>
        <v>6.8565000000000014</v>
      </c>
      <c r="E399" s="18"/>
      <c r="F399" s="249">
        <f>+D399*E399</f>
        <v>0</v>
      </c>
      <c r="G399" s="10">
        <f>75*D399</f>
        <v>514.23750000000007</v>
      </c>
      <c r="J399" s="80"/>
    </row>
    <row r="400" spans="1:10" s="74" customFormat="1" x14ac:dyDescent="0.2">
      <c r="A400" s="247"/>
      <c r="B400" s="26"/>
      <c r="C400" s="27"/>
      <c r="D400" s="65"/>
      <c r="E400" s="30"/>
      <c r="F400" s="242"/>
      <c r="J400" s="80"/>
    </row>
    <row r="401" spans="1:12" s="74" customFormat="1" x14ac:dyDescent="0.2">
      <c r="A401" s="247" t="s">
        <v>979</v>
      </c>
      <c r="B401" s="26" t="s">
        <v>983</v>
      </c>
      <c r="C401" s="27"/>
      <c r="D401" s="65"/>
      <c r="E401" s="30"/>
      <c r="F401" s="242"/>
      <c r="J401" s="80"/>
    </row>
    <row r="402" spans="1:12" s="74" customFormat="1" ht="25.5" x14ac:dyDescent="0.2">
      <c r="A402" s="247"/>
      <c r="B402" s="26" t="s">
        <v>1249</v>
      </c>
      <c r="C402" s="62" t="s">
        <v>41</v>
      </c>
      <c r="D402" s="29">
        <f>0.2*0.6*(1.94+6.37+4.9+2.15*2+5.15*2+5.78+1.5*2+1.95+5.77+6.85)</f>
        <v>6.1392000000000007</v>
      </c>
      <c r="E402" s="18"/>
      <c r="F402" s="249">
        <f>+D402*E402</f>
        <v>0</v>
      </c>
      <c r="G402" s="10">
        <f>75*D402</f>
        <v>460.44000000000005</v>
      </c>
      <c r="J402" s="80"/>
    </row>
    <row r="403" spans="1:12" s="74" customFormat="1" x14ac:dyDescent="0.2">
      <c r="A403" s="234"/>
      <c r="B403" s="26"/>
      <c r="C403" s="27"/>
      <c r="D403" s="65"/>
      <c r="E403" s="30"/>
      <c r="F403" s="242"/>
      <c r="G403" s="89"/>
      <c r="J403" s="80"/>
    </row>
    <row r="404" spans="1:12" s="74" customFormat="1" ht="51" x14ac:dyDescent="0.2">
      <c r="A404" s="234" t="s">
        <v>957</v>
      </c>
      <c r="B404" s="25" t="s">
        <v>1140</v>
      </c>
      <c r="C404" s="25"/>
      <c r="D404" s="65"/>
      <c r="E404" s="25"/>
      <c r="F404" s="235"/>
      <c r="G404" s="89"/>
      <c r="J404" s="80"/>
    </row>
    <row r="405" spans="1:12" s="74" customFormat="1" ht="51" x14ac:dyDescent="0.2">
      <c r="A405" s="234"/>
      <c r="B405" s="21" t="s">
        <v>333</v>
      </c>
      <c r="C405" s="25"/>
      <c r="D405" s="65"/>
      <c r="E405" s="25"/>
      <c r="F405" s="235"/>
      <c r="G405" s="10">
        <f>15*D405</f>
        <v>0</v>
      </c>
      <c r="J405" s="80"/>
    </row>
    <row r="406" spans="1:12" s="74" customFormat="1" ht="51" x14ac:dyDescent="0.2">
      <c r="A406" s="234"/>
      <c r="B406" s="21" t="s">
        <v>315</v>
      </c>
      <c r="C406" s="25"/>
      <c r="D406" s="65"/>
      <c r="E406" s="25"/>
      <c r="F406" s="235"/>
      <c r="G406" s="136"/>
      <c r="J406" s="80"/>
    </row>
    <row r="407" spans="1:12" s="74" customFormat="1" ht="51" x14ac:dyDescent="0.2">
      <c r="A407" s="234"/>
      <c r="B407" s="20" t="s">
        <v>316</v>
      </c>
      <c r="C407" s="25"/>
      <c r="D407" s="65"/>
      <c r="E407" s="25"/>
      <c r="F407" s="235"/>
      <c r="J407" s="80"/>
    </row>
    <row r="408" spans="1:12" s="74" customFormat="1" ht="25.5" x14ac:dyDescent="0.2">
      <c r="A408" s="234"/>
      <c r="B408" s="124" t="s">
        <v>317</v>
      </c>
      <c r="C408" s="25"/>
      <c r="D408" s="65"/>
      <c r="E408" s="25"/>
      <c r="F408" s="235"/>
      <c r="J408" s="80"/>
    </row>
    <row r="409" spans="1:12" s="74" customFormat="1" x14ac:dyDescent="0.2">
      <c r="A409" s="234"/>
      <c r="B409" s="25"/>
      <c r="C409" s="25"/>
      <c r="D409" s="65"/>
      <c r="E409" s="25"/>
      <c r="F409" s="235"/>
      <c r="J409" s="80"/>
    </row>
    <row r="410" spans="1:12" s="74" customFormat="1" ht="38.25" x14ac:dyDescent="0.2">
      <c r="A410" s="234"/>
      <c r="B410" s="26" t="s">
        <v>1141</v>
      </c>
      <c r="C410" s="152" t="s">
        <v>41</v>
      </c>
      <c r="D410" s="29">
        <f>0.1*0.25*(4.19+1.18+3.21+6.88+13.47+15.08+19.2+14.7+34.07)+0.1*50.74</f>
        <v>7.8735000000000008</v>
      </c>
      <c r="E410" s="20"/>
      <c r="F410" s="242">
        <f>D410*E410</f>
        <v>0</v>
      </c>
      <c r="G410" s="10">
        <f>65*D410</f>
        <v>511.77750000000003</v>
      </c>
      <c r="J410" s="80"/>
    </row>
    <row r="411" spans="1:12" s="74" customFormat="1" ht="13.5" thickBot="1" x14ac:dyDescent="0.25">
      <c r="A411" s="234"/>
      <c r="B411" s="26"/>
      <c r="C411" s="27"/>
      <c r="D411" s="65"/>
      <c r="E411" s="30"/>
      <c r="F411" s="242"/>
      <c r="G411" s="74">
        <f>SUM(G71:G410)</f>
        <v>145170.74493989089</v>
      </c>
      <c r="J411" s="80"/>
    </row>
    <row r="412" spans="1:12" s="2" customFormat="1" ht="15.95" customHeight="1" thickBot="1" x14ac:dyDescent="0.25">
      <c r="A412" s="243" t="str">
        <f>A64</f>
        <v>2.</v>
      </c>
      <c r="B412" s="46" t="s">
        <v>92</v>
      </c>
      <c r="C412" s="47"/>
      <c r="D412" s="319"/>
      <c r="E412" s="48"/>
      <c r="F412" s="244">
        <f>SUM(F65:F411)</f>
        <v>0</v>
      </c>
      <c r="G412" s="190">
        <v>16848</v>
      </c>
      <c r="H412" s="3">
        <v>21362.84</v>
      </c>
      <c r="I412" s="3"/>
      <c r="J412" s="3"/>
      <c r="K412" s="3"/>
      <c r="L412" s="3"/>
    </row>
    <row r="413" spans="1:12" s="2" customFormat="1" ht="15.95" customHeight="1" thickBot="1" x14ac:dyDescent="0.25">
      <c r="A413" s="245" t="s">
        <v>25</v>
      </c>
      <c r="B413" s="46" t="s">
        <v>51</v>
      </c>
      <c r="C413" s="47"/>
      <c r="D413" s="319"/>
      <c r="E413" s="56"/>
      <c r="F413" s="246"/>
      <c r="G413" s="190"/>
      <c r="H413" s="127">
        <v>19454.11</v>
      </c>
      <c r="I413" s="3"/>
      <c r="J413" s="3"/>
      <c r="K413" s="3"/>
      <c r="L413" s="3"/>
    </row>
    <row r="414" spans="1:12" x14ac:dyDescent="0.2">
      <c r="A414" s="234"/>
      <c r="B414" s="25"/>
      <c r="C414" s="25"/>
      <c r="D414" s="65"/>
      <c r="E414" s="25"/>
      <c r="F414" s="235"/>
      <c r="H414" s="8">
        <f>SUM(H412:H413)</f>
        <v>40816.949999999997</v>
      </c>
    </row>
    <row r="415" spans="1:12" ht="38.25" x14ac:dyDescent="0.2">
      <c r="A415" s="234" t="s">
        <v>85</v>
      </c>
      <c r="B415" s="21" t="s">
        <v>335</v>
      </c>
      <c r="C415" s="25"/>
      <c r="D415" s="65"/>
      <c r="E415" s="25"/>
      <c r="F415" s="253">
        <f>E415*D415</f>
        <v>0</v>
      </c>
      <c r="G415" s="74" t="e">
        <f>SUM(#REF!)</f>
        <v>#REF!</v>
      </c>
    </row>
    <row r="416" spans="1:12" ht="51" x14ac:dyDescent="0.2">
      <c r="A416" s="234"/>
      <c r="B416" s="21" t="s">
        <v>334</v>
      </c>
      <c r="C416" s="25"/>
      <c r="D416" s="65"/>
      <c r="E416" s="25"/>
      <c r="F416" s="253"/>
    </row>
    <row r="417" spans="1:12" ht="15" x14ac:dyDescent="0.2">
      <c r="A417" s="234"/>
      <c r="B417" s="12" t="s">
        <v>52</v>
      </c>
      <c r="C417" s="32" t="s">
        <v>53</v>
      </c>
      <c r="D417" s="65">
        <v>145200</v>
      </c>
      <c r="E417" s="25"/>
      <c r="F417" s="253">
        <f>D417*E417</f>
        <v>0</v>
      </c>
      <c r="G417" s="190" t="e">
        <f>+F417/#REF!</f>
        <v>#REF!</v>
      </c>
    </row>
    <row r="418" spans="1:12" ht="13.5" thickBot="1" x14ac:dyDescent="0.25">
      <c r="A418" s="234"/>
      <c r="B418" s="25"/>
      <c r="C418" s="25"/>
      <c r="D418" s="65"/>
      <c r="E418" s="25"/>
      <c r="F418" s="235"/>
    </row>
    <row r="419" spans="1:12" s="2" customFormat="1" ht="15.95" customHeight="1" thickBot="1" x14ac:dyDescent="0.25">
      <c r="A419" s="243" t="str">
        <f>A413</f>
        <v>3.</v>
      </c>
      <c r="B419" s="46" t="s">
        <v>44</v>
      </c>
      <c r="C419" s="47"/>
      <c r="D419" s="319"/>
      <c r="E419" s="48"/>
      <c r="F419" s="244">
        <f>SUM(F417:F417)</f>
        <v>0</v>
      </c>
      <c r="G419" s="190"/>
      <c r="H419" s="4"/>
      <c r="I419" s="3"/>
      <c r="J419" s="3"/>
      <c r="K419" s="3"/>
      <c r="L419" s="3"/>
    </row>
    <row r="420" spans="1:12" s="2" customFormat="1" ht="15.95" customHeight="1" thickBot="1" x14ac:dyDescent="0.25">
      <c r="A420" s="245" t="s">
        <v>26</v>
      </c>
      <c r="B420" s="46" t="s">
        <v>54</v>
      </c>
      <c r="C420" s="47"/>
      <c r="D420" s="319"/>
      <c r="E420" s="56"/>
      <c r="F420" s="246"/>
      <c r="G420" s="190"/>
      <c r="H420" s="4"/>
      <c r="I420" s="3"/>
      <c r="J420" s="3"/>
      <c r="K420" s="3"/>
      <c r="L420" s="3"/>
    </row>
    <row r="421" spans="1:12" x14ac:dyDescent="0.2">
      <c r="A421" s="234"/>
      <c r="B421" s="25"/>
      <c r="C421" s="25"/>
      <c r="D421" s="65"/>
      <c r="E421" s="64"/>
      <c r="F421" s="235"/>
    </row>
    <row r="422" spans="1:12" ht="38.25" customHeight="1" x14ac:dyDescent="0.2">
      <c r="A422" s="234" t="s">
        <v>86</v>
      </c>
      <c r="B422" s="21" t="s">
        <v>353</v>
      </c>
      <c r="C422" s="25"/>
      <c r="D422" s="65"/>
      <c r="E422" s="25"/>
      <c r="F422" s="235"/>
    </row>
    <row r="423" spans="1:12" ht="25.5" customHeight="1" x14ac:dyDescent="0.2">
      <c r="A423" s="234"/>
      <c r="B423" s="74" t="s">
        <v>350</v>
      </c>
      <c r="C423" s="25"/>
      <c r="D423" s="65"/>
      <c r="E423" s="25"/>
      <c r="F423" s="235"/>
    </row>
    <row r="424" spans="1:12" x14ac:dyDescent="0.2">
      <c r="A424" s="234"/>
      <c r="B424" s="12" t="s">
        <v>349</v>
      </c>
      <c r="C424" s="25"/>
      <c r="D424" s="65"/>
      <c r="E424" s="25"/>
      <c r="F424" s="235"/>
      <c r="H424" s="77"/>
    </row>
    <row r="425" spans="1:12" ht="38.25" x14ac:dyDescent="0.2">
      <c r="A425" s="234"/>
      <c r="B425" s="20" t="s">
        <v>678</v>
      </c>
      <c r="C425" s="25"/>
      <c r="D425" s="65"/>
      <c r="E425" s="25"/>
      <c r="F425" s="235"/>
      <c r="G425" s="74">
        <f>+E425/0.25</f>
        <v>0</v>
      </c>
      <c r="H425" s="77"/>
    </row>
    <row r="426" spans="1:12" x14ac:dyDescent="0.2">
      <c r="A426" s="234"/>
      <c r="B426" s="12" t="s">
        <v>49</v>
      </c>
      <c r="C426" s="25"/>
      <c r="D426" s="65"/>
      <c r="E426" s="25"/>
      <c r="F426" s="235"/>
      <c r="G426" s="74">
        <f>+G425/120</f>
        <v>0</v>
      </c>
      <c r="H426" s="77"/>
    </row>
    <row r="427" spans="1:12" x14ac:dyDescent="0.2">
      <c r="A427" s="234"/>
      <c r="B427" s="25"/>
      <c r="C427" s="25"/>
      <c r="D427" s="65"/>
      <c r="E427" s="25"/>
      <c r="F427" s="235"/>
      <c r="H427" s="77"/>
    </row>
    <row r="428" spans="1:12" x14ac:dyDescent="0.2">
      <c r="A428" s="234"/>
      <c r="B428" s="25" t="s">
        <v>28</v>
      </c>
      <c r="C428" s="25"/>
      <c r="D428" s="65"/>
      <c r="E428" s="25"/>
      <c r="F428" s="235"/>
      <c r="H428" s="77"/>
    </row>
    <row r="429" spans="1:12" ht="76.5" x14ac:dyDescent="0.2">
      <c r="A429" s="234"/>
      <c r="B429" s="26" t="s">
        <v>710</v>
      </c>
      <c r="C429" s="25"/>
      <c r="D429" s="29">
        <f>0.2*2.5*(2.9+1.7*5.64+2.7*4+1.8+1.7+2.9+1.1+1.27+1.63+1.25+4.525+1.805+1.3+3.15+2.15+3.6+3+0.9+4.36+4.52)-0.2*(1.8*1.6*8+1*1.6*12+1*0.6+1*2+0.9*2.4*4+2.7*2.4*6+2.1*1.6)</f>
        <v>12.979999999999993</v>
      </c>
      <c r="E429" s="25"/>
      <c r="F429" s="235"/>
      <c r="H429" s="77"/>
    </row>
    <row r="430" spans="1:12" x14ac:dyDescent="0.2">
      <c r="A430" s="234"/>
      <c r="B430" s="25"/>
      <c r="C430" s="25"/>
      <c r="D430" s="65"/>
      <c r="E430" s="25"/>
      <c r="F430" s="235"/>
      <c r="H430" s="77"/>
    </row>
    <row r="431" spans="1:12" x14ac:dyDescent="0.2">
      <c r="A431" s="234"/>
      <c r="B431" s="25" t="s">
        <v>746</v>
      </c>
      <c r="C431" s="25"/>
      <c r="D431" s="65"/>
      <c r="E431" s="25"/>
      <c r="F431" s="235"/>
      <c r="H431" s="77"/>
    </row>
    <row r="432" spans="1:12" ht="89.25" x14ac:dyDescent="0.2">
      <c r="A432" s="234"/>
      <c r="B432" s="26" t="s">
        <v>748</v>
      </c>
      <c r="C432" s="25"/>
      <c r="D432" s="217">
        <f>0.2*2.5*(2.9+1.7*5.64+2.7*4+1.8+1.7+2.9+1.1+1.27+1.63+1.25+4.525+1.805+1.3+3.15+2.15+3.6+3+0.9+4.36+4.52+2.15+3.04)-0.2*(1.8*1.6*8+1*1.6*12+1*0.6+1*2+0.9*2.4*4+2.7*2.4*6+2.1*1.6+1*1.6+2.7*2.4)</f>
        <v>13.958999999999996</v>
      </c>
      <c r="E432" s="25"/>
      <c r="F432" s="235"/>
      <c r="H432" s="77"/>
    </row>
    <row r="433" spans="1:8" x14ac:dyDescent="0.2">
      <c r="A433" s="234"/>
      <c r="B433" s="25"/>
      <c r="C433" s="25"/>
      <c r="D433" s="65"/>
      <c r="E433" s="25"/>
      <c r="F433" s="235"/>
      <c r="H433" s="77"/>
    </row>
    <row r="434" spans="1:8" x14ac:dyDescent="0.2">
      <c r="A434" s="234"/>
      <c r="B434" s="25" t="s">
        <v>750</v>
      </c>
      <c r="C434" s="25"/>
      <c r="D434" s="65"/>
      <c r="E434" s="25"/>
      <c r="F434" s="235"/>
      <c r="H434" s="77"/>
    </row>
    <row r="435" spans="1:8" ht="89.25" x14ac:dyDescent="0.2">
      <c r="A435" s="234"/>
      <c r="B435" s="26" t="s">
        <v>760</v>
      </c>
      <c r="C435" s="25"/>
      <c r="D435" s="29">
        <f>2*0.2*2.5*(2.9+1.7*5.64+2.7*4+1.8+1.7+2.9+1.1+1.27+1.63+1.25+4.525+1.805+1.3+3.15+2.15+3.6+3+0.9+4.36+4.52+2.15+3.04)-2*0.2*(1.8*1.6*8+1*1.6*12+1*0.6+1*2+0.9*2.4*4+2.7*2.4*6+2.1*1.6+1*1.6+2.7*2.4)</f>
        <v>27.917999999999992</v>
      </c>
      <c r="E435" s="25"/>
      <c r="F435" s="235"/>
      <c r="H435" s="77"/>
    </row>
    <row r="436" spans="1:8" x14ac:dyDescent="0.2">
      <c r="A436" s="234"/>
      <c r="B436" s="26"/>
      <c r="C436" s="25"/>
      <c r="D436" s="29"/>
      <c r="E436" s="25"/>
      <c r="F436" s="235"/>
    </row>
    <row r="437" spans="1:8" x14ac:dyDescent="0.2">
      <c r="A437" s="234"/>
      <c r="B437" s="26" t="s">
        <v>776</v>
      </c>
      <c r="C437" s="25"/>
      <c r="D437" s="29"/>
      <c r="E437" s="25"/>
      <c r="F437" s="235"/>
    </row>
    <row r="438" spans="1:8" ht="76.5" x14ac:dyDescent="0.2">
      <c r="A438" s="234"/>
      <c r="B438" s="26" t="s">
        <v>834</v>
      </c>
      <c r="C438" s="25"/>
      <c r="D438" s="29">
        <f>0.2*(1.7*1+1.9*2.72+0.5*1.8+(1.9+2.5)/2*1.1+2.5*(1.16+1.44)+0.5*1.8+0.3*1.6+3.75*1.4+1.5*(0.575*2+0.8+0.68+0.6)+2.7*(1.3+0.7+1.7+1.3+1.9+1.25)+0.5*(1*2+1.8+1.8*2+1+1.8*2)+0.9*1*2+1.7*1)</f>
        <v>11.9336</v>
      </c>
      <c r="E438" s="25"/>
      <c r="F438" s="235"/>
    </row>
    <row r="439" spans="1:8" x14ac:dyDescent="0.2">
      <c r="A439" s="234"/>
      <c r="B439" s="26"/>
      <c r="C439" s="25"/>
      <c r="D439" s="29"/>
      <c r="E439" s="25"/>
      <c r="F439" s="235"/>
    </row>
    <row r="440" spans="1:8" x14ac:dyDescent="0.2">
      <c r="A440" s="339"/>
      <c r="B440" s="347" t="s">
        <v>174</v>
      </c>
      <c r="C440" s="362" t="s">
        <v>41</v>
      </c>
      <c r="D440" s="348">
        <f>SUM(D429:D439)</f>
        <v>66.790599999999984</v>
      </c>
      <c r="E440" s="364"/>
      <c r="F440" s="344">
        <f>D440*E440</f>
        <v>0</v>
      </c>
      <c r="G440" s="105"/>
      <c r="H440" s="192" t="s">
        <v>314</v>
      </c>
    </row>
    <row r="441" spans="1:8" x14ac:dyDescent="0.2">
      <c r="A441" s="234"/>
      <c r="B441" s="96"/>
      <c r="C441" s="25"/>
      <c r="D441" s="65"/>
      <c r="E441" s="25"/>
      <c r="F441" s="235"/>
    </row>
    <row r="442" spans="1:8" ht="38.25" x14ac:dyDescent="0.2">
      <c r="A442" s="234" t="s">
        <v>145</v>
      </c>
      <c r="B442" s="21" t="s">
        <v>354</v>
      </c>
      <c r="C442" s="25"/>
      <c r="D442" s="65"/>
      <c r="E442" s="25"/>
      <c r="F442" s="235"/>
    </row>
    <row r="443" spans="1:8" ht="38.25" x14ac:dyDescent="0.2">
      <c r="A443" s="234"/>
      <c r="B443" s="21" t="s">
        <v>1148</v>
      </c>
      <c r="C443" s="25"/>
      <c r="D443" s="65"/>
      <c r="E443" s="25"/>
      <c r="F443" s="235"/>
    </row>
    <row r="444" spans="1:8" ht="38.25" x14ac:dyDescent="0.2">
      <c r="A444" s="234"/>
      <c r="B444" s="20" t="s">
        <v>1265</v>
      </c>
      <c r="C444" s="25"/>
      <c r="D444" s="65"/>
      <c r="E444" s="25"/>
      <c r="F444" s="235"/>
    </row>
    <row r="445" spans="1:8" x14ac:dyDescent="0.2">
      <c r="A445" s="234"/>
      <c r="B445" s="12" t="s">
        <v>351</v>
      </c>
      <c r="C445" s="25"/>
      <c r="D445" s="65"/>
      <c r="E445" s="25"/>
      <c r="F445" s="235"/>
    </row>
    <row r="446" spans="1:8" x14ac:dyDescent="0.2">
      <c r="A446" s="234"/>
      <c r="B446" s="12" t="s">
        <v>49</v>
      </c>
      <c r="C446" s="25"/>
      <c r="D446" s="65"/>
      <c r="E446" s="25"/>
      <c r="F446" s="235"/>
      <c r="H446" s="77"/>
    </row>
    <row r="447" spans="1:8" x14ac:dyDescent="0.2">
      <c r="A447" s="234"/>
      <c r="B447" s="12"/>
      <c r="C447" s="25"/>
      <c r="D447" s="65"/>
      <c r="E447" s="25"/>
      <c r="F447" s="235"/>
      <c r="H447" s="77"/>
    </row>
    <row r="448" spans="1:8" x14ac:dyDescent="0.2">
      <c r="A448" s="234"/>
      <c r="B448" s="25" t="s">
        <v>28</v>
      </c>
      <c r="C448" s="25"/>
      <c r="D448" s="65"/>
      <c r="E448" s="25"/>
      <c r="F448" s="235"/>
      <c r="H448" s="77"/>
    </row>
    <row r="449" spans="1:8" x14ac:dyDescent="0.2">
      <c r="A449" s="234"/>
      <c r="B449" s="26" t="s">
        <v>993</v>
      </c>
      <c r="C449" s="25"/>
      <c r="D449" s="29">
        <f>0.25*2.77*5.29</f>
        <v>3.6633249999999999</v>
      </c>
      <c r="E449" s="25"/>
      <c r="F449" s="235"/>
      <c r="H449" s="77"/>
    </row>
    <row r="450" spans="1:8" x14ac:dyDescent="0.2">
      <c r="A450" s="234"/>
      <c r="B450" s="26"/>
      <c r="C450" s="25"/>
      <c r="D450" s="29"/>
      <c r="E450" s="25"/>
      <c r="F450" s="235"/>
      <c r="H450" s="77"/>
    </row>
    <row r="451" spans="1:8" x14ac:dyDescent="0.2">
      <c r="A451" s="234"/>
      <c r="B451" s="25" t="s">
        <v>746</v>
      </c>
      <c r="C451" s="25"/>
      <c r="D451" s="65"/>
      <c r="E451" s="25"/>
      <c r="F451" s="235"/>
      <c r="H451" s="77"/>
    </row>
    <row r="452" spans="1:8" x14ac:dyDescent="0.2">
      <c r="A452" s="234"/>
      <c r="B452" s="60" t="s">
        <v>994</v>
      </c>
      <c r="C452" s="25"/>
      <c r="D452" s="29">
        <f>0.25*2.77*1.25</f>
        <v>0.86562499999999998</v>
      </c>
      <c r="E452" s="25"/>
      <c r="F452" s="235"/>
      <c r="H452" s="77"/>
    </row>
    <row r="453" spans="1:8" x14ac:dyDescent="0.2">
      <c r="A453" s="234"/>
      <c r="B453" s="25"/>
      <c r="C453" s="25"/>
      <c r="D453" s="65"/>
      <c r="E453" s="25"/>
      <c r="F453" s="235"/>
      <c r="H453" s="77"/>
    </row>
    <row r="454" spans="1:8" x14ac:dyDescent="0.2">
      <c r="A454" s="234"/>
      <c r="B454" s="25" t="s">
        <v>750</v>
      </c>
      <c r="C454" s="25"/>
      <c r="D454" s="65"/>
      <c r="E454" s="25"/>
      <c r="F454" s="235"/>
    </row>
    <row r="455" spans="1:8" x14ac:dyDescent="0.2">
      <c r="A455" s="234"/>
      <c r="B455" s="26" t="s">
        <v>995</v>
      </c>
      <c r="C455" s="25"/>
      <c r="D455" s="29">
        <f>0.25*2.77*1.25*2</f>
        <v>1.73125</v>
      </c>
      <c r="E455" s="25"/>
      <c r="F455" s="235"/>
    </row>
    <row r="456" spans="1:8" x14ac:dyDescent="0.2">
      <c r="A456" s="234"/>
      <c r="B456" s="25"/>
      <c r="C456" s="25"/>
      <c r="D456" s="65"/>
      <c r="E456" s="25"/>
      <c r="F456" s="235"/>
    </row>
    <row r="457" spans="1:8" x14ac:dyDescent="0.2">
      <c r="A457" s="234"/>
      <c r="B457" s="25" t="s">
        <v>776</v>
      </c>
      <c r="C457" s="25"/>
      <c r="D457" s="65"/>
      <c r="E457" s="25"/>
      <c r="F457" s="235"/>
    </row>
    <row r="458" spans="1:8" x14ac:dyDescent="0.2">
      <c r="A458" s="234"/>
      <c r="B458" s="60" t="s">
        <v>994</v>
      </c>
      <c r="C458" s="25"/>
      <c r="D458" s="29">
        <f>0.25*2.77*1.25</f>
        <v>0.86562499999999998</v>
      </c>
      <c r="E458" s="25"/>
      <c r="F458" s="235"/>
    </row>
    <row r="459" spans="1:8" x14ac:dyDescent="0.2">
      <c r="A459" s="234"/>
      <c r="B459" s="26"/>
      <c r="C459" s="25"/>
      <c r="D459" s="29"/>
      <c r="E459" s="25"/>
      <c r="F459" s="235"/>
    </row>
    <row r="460" spans="1:8" x14ac:dyDescent="0.2">
      <c r="A460" s="234"/>
      <c r="B460" s="25" t="s">
        <v>352</v>
      </c>
      <c r="C460" s="27" t="s">
        <v>41</v>
      </c>
      <c r="D460" s="65">
        <f>SUM(D449:D459)</f>
        <v>7.1258249999999999</v>
      </c>
      <c r="E460" s="18"/>
      <c r="F460" s="249">
        <f>D460*E460</f>
        <v>0</v>
      </c>
      <c r="G460" s="105"/>
      <c r="H460" s="192" t="s">
        <v>314</v>
      </c>
    </row>
    <row r="461" spans="1:8" x14ac:dyDescent="0.2">
      <c r="A461" s="234"/>
      <c r="B461" s="96"/>
      <c r="C461" s="25"/>
      <c r="D461" s="65"/>
      <c r="E461" s="25"/>
      <c r="F461" s="235"/>
    </row>
    <row r="462" spans="1:8" ht="38.25" x14ac:dyDescent="0.2">
      <c r="A462" s="234" t="s">
        <v>146</v>
      </c>
      <c r="B462" s="21" t="s">
        <v>355</v>
      </c>
      <c r="C462" s="25"/>
      <c r="D462" s="29"/>
      <c r="E462" s="25"/>
      <c r="F462" s="235"/>
    </row>
    <row r="463" spans="1:8" ht="25.5" x14ac:dyDescent="0.2">
      <c r="A463" s="234"/>
      <c r="B463" s="21" t="s">
        <v>356</v>
      </c>
      <c r="C463" s="25"/>
      <c r="D463" s="29"/>
      <c r="E463" s="25"/>
      <c r="F463" s="235"/>
    </row>
    <row r="464" spans="1:8" x14ac:dyDescent="0.2">
      <c r="A464" s="234"/>
      <c r="B464" s="21" t="s">
        <v>351</v>
      </c>
      <c r="C464" s="25"/>
      <c r="D464" s="29"/>
      <c r="E464" s="25"/>
      <c r="F464" s="235"/>
    </row>
    <row r="465" spans="1:8" x14ac:dyDescent="0.2">
      <c r="A465" s="234"/>
      <c r="B465" s="12" t="s">
        <v>49</v>
      </c>
      <c r="C465" s="25"/>
      <c r="D465" s="29"/>
      <c r="E465" s="25"/>
      <c r="F465" s="235"/>
    </row>
    <row r="466" spans="1:8" x14ac:dyDescent="0.2">
      <c r="A466" s="234"/>
      <c r="B466" s="12"/>
      <c r="C466" s="25"/>
      <c r="D466" s="29"/>
      <c r="E466" s="25"/>
      <c r="F466" s="235"/>
    </row>
    <row r="467" spans="1:8" x14ac:dyDescent="0.2">
      <c r="A467" s="234"/>
      <c r="B467" s="25" t="s">
        <v>28</v>
      </c>
      <c r="C467" s="25"/>
      <c r="D467" s="29"/>
      <c r="E467" s="25"/>
      <c r="F467" s="235"/>
    </row>
    <row r="468" spans="1:8" ht="51" x14ac:dyDescent="0.2">
      <c r="A468" s="234"/>
      <c r="B468" s="26" t="s">
        <v>713</v>
      </c>
      <c r="C468" s="25"/>
      <c r="D468" s="29">
        <f>0.25*2.77*(5.88+2.63+6.38+3.57+5.33+5.17+2.15+4.86+0.75+3.83+2.6+2.5+5.88+2.32+2.53+5.38+5.32+1.62+2.34+2.15+2.93)-0.25*1*2.1*9</f>
        <v>47.988100000000024</v>
      </c>
      <c r="E468" s="25"/>
      <c r="F468" s="235"/>
    </row>
    <row r="469" spans="1:8" x14ac:dyDescent="0.2">
      <c r="A469" s="234"/>
      <c r="B469" s="25"/>
      <c r="C469" s="25"/>
      <c r="D469" s="29"/>
      <c r="E469" s="25"/>
      <c r="F469" s="235"/>
    </row>
    <row r="470" spans="1:8" x14ac:dyDescent="0.2">
      <c r="A470" s="234"/>
      <c r="B470" s="25" t="s">
        <v>746</v>
      </c>
      <c r="C470" s="25"/>
      <c r="D470" s="29"/>
      <c r="E470" s="25"/>
      <c r="F470" s="235"/>
    </row>
    <row r="471" spans="1:8" ht="63.75" x14ac:dyDescent="0.2">
      <c r="A471" s="339"/>
      <c r="B471" s="354" t="s">
        <v>749</v>
      </c>
      <c r="C471" s="347"/>
      <c r="D471" s="342">
        <f>0.25*2.77*(5.88+2.63+6.38+3.57+5.33+5.17+2.15+4.86+0.75+3.83+2.6+2.5+5.88+2.32+2.53+5.38+5.32+1.62+2.34+2.15+2.93+2.72)-0.25*1*2.1*9</f>
        <v>49.871700000000018</v>
      </c>
      <c r="E471" s="347"/>
      <c r="F471" s="349"/>
    </row>
    <row r="472" spans="1:8" x14ac:dyDescent="0.2">
      <c r="A472" s="234"/>
      <c r="B472" s="25"/>
      <c r="C472" s="25"/>
      <c r="D472" s="65"/>
      <c r="E472" s="25"/>
      <c r="F472" s="235"/>
    </row>
    <row r="473" spans="1:8" x14ac:dyDescent="0.2">
      <c r="A473" s="234"/>
      <c r="B473" s="25" t="s">
        <v>750</v>
      </c>
      <c r="C473" s="25"/>
      <c r="D473" s="29"/>
      <c r="E473" s="25"/>
      <c r="F473" s="235"/>
    </row>
    <row r="474" spans="1:8" ht="63.75" x14ac:dyDescent="0.2">
      <c r="A474" s="234"/>
      <c r="B474" s="26" t="s">
        <v>761</v>
      </c>
      <c r="C474" s="25"/>
      <c r="D474" s="29">
        <f>2*0.25*2.77*(5.88+2.63+6.38+3.57+5.33+5.17+2.15+4.86+0.75+3.83+2.6+2.5+5.88+2.32+2.53+5.38+5.32+1.62+2.34+2.15+2.93+2.72)-2*0.25*1*2.1*9</f>
        <v>99.743400000000037</v>
      </c>
      <c r="E474" s="25"/>
      <c r="F474" s="235"/>
    </row>
    <row r="475" spans="1:8" x14ac:dyDescent="0.2">
      <c r="A475" s="234"/>
      <c r="B475" s="25"/>
      <c r="C475" s="25"/>
      <c r="D475" s="65"/>
      <c r="E475" s="25"/>
      <c r="F475" s="235"/>
    </row>
    <row r="476" spans="1:8" x14ac:dyDescent="0.2">
      <c r="A476" s="234"/>
      <c r="B476" s="25" t="s">
        <v>776</v>
      </c>
      <c r="C476" s="25"/>
      <c r="D476" s="65"/>
      <c r="E476" s="25"/>
      <c r="F476" s="235"/>
    </row>
    <row r="477" spans="1:8" ht="63.75" x14ac:dyDescent="0.2">
      <c r="A477" s="234"/>
      <c r="B477" s="26" t="s">
        <v>835</v>
      </c>
      <c r="C477" s="25"/>
      <c r="D477" s="29">
        <f>0.25*2.77*(5.88+2.63+6.38+3.57+5.33+5.17+2.15+4.86+0.75+3.83+2.6+2.5+5.88+2.32+2.53+5.38+5.32+1.62+2.34+2.15+2.93+2.72)-0.25*1*2.1*9</f>
        <v>49.871700000000018</v>
      </c>
      <c r="E477" s="25"/>
      <c r="F477" s="235"/>
    </row>
    <row r="478" spans="1:8" x14ac:dyDescent="0.2">
      <c r="A478" s="234"/>
      <c r="B478" s="25"/>
      <c r="C478" s="25"/>
      <c r="D478" s="65"/>
      <c r="E478" s="25"/>
      <c r="F478" s="235"/>
    </row>
    <row r="479" spans="1:8" x14ac:dyDescent="0.2">
      <c r="A479" s="234"/>
      <c r="B479" s="25" t="s">
        <v>357</v>
      </c>
      <c r="C479" s="27" t="s">
        <v>41</v>
      </c>
      <c r="D479" s="65">
        <f>SUM(D468:D478)</f>
        <v>247.4749000000001</v>
      </c>
      <c r="E479" s="18"/>
      <c r="F479" s="249">
        <f>D479*E479</f>
        <v>0</v>
      </c>
      <c r="G479" s="105"/>
      <c r="H479" s="192" t="s">
        <v>314</v>
      </c>
    </row>
    <row r="480" spans="1:8" x14ac:dyDescent="0.2">
      <c r="A480" s="234"/>
      <c r="B480" s="25"/>
      <c r="C480" s="27"/>
      <c r="D480" s="65"/>
      <c r="E480" s="18"/>
      <c r="F480" s="249"/>
      <c r="G480" s="105">
        <f>206.5+97.5</f>
        <v>304</v>
      </c>
    </row>
    <row r="481" spans="1:7" ht="38.25" x14ac:dyDescent="0.2">
      <c r="A481" s="234" t="s">
        <v>93</v>
      </c>
      <c r="B481" s="21" t="s">
        <v>355</v>
      </c>
      <c r="C481" s="25"/>
      <c r="D481" s="65"/>
      <c r="E481" s="25"/>
      <c r="F481" s="235"/>
    </row>
    <row r="482" spans="1:7" ht="25.5" x14ac:dyDescent="0.2">
      <c r="A482" s="234"/>
      <c r="B482" s="21" t="s">
        <v>356</v>
      </c>
      <c r="C482" s="25"/>
      <c r="D482" s="65"/>
      <c r="E482" s="25"/>
      <c r="F482" s="235"/>
    </row>
    <row r="483" spans="1:7" x14ac:dyDescent="0.2">
      <c r="A483" s="234"/>
      <c r="B483" s="21" t="s">
        <v>358</v>
      </c>
      <c r="C483" s="25"/>
      <c r="D483" s="65"/>
      <c r="E483" s="25"/>
      <c r="F483" s="235"/>
    </row>
    <row r="484" spans="1:7" x14ac:dyDescent="0.2">
      <c r="A484" s="234"/>
      <c r="B484" s="12" t="s">
        <v>49</v>
      </c>
      <c r="C484" s="25"/>
      <c r="D484" s="65"/>
      <c r="E484" s="25"/>
      <c r="F484" s="235"/>
    </row>
    <row r="485" spans="1:7" x14ac:dyDescent="0.2">
      <c r="A485" s="234"/>
      <c r="B485" s="12"/>
      <c r="C485" s="25"/>
      <c r="D485" s="65"/>
      <c r="E485" s="25"/>
      <c r="F485" s="235"/>
    </row>
    <row r="486" spans="1:7" x14ac:dyDescent="0.2">
      <c r="A486" s="234"/>
      <c r="B486" s="12" t="s">
        <v>175</v>
      </c>
      <c r="C486" s="25"/>
      <c r="D486" s="65"/>
      <c r="E486" s="25"/>
      <c r="F486" s="235"/>
    </row>
    <row r="487" spans="1:7" x14ac:dyDescent="0.2">
      <c r="A487" s="234"/>
      <c r="B487" s="19" t="s">
        <v>714</v>
      </c>
      <c r="C487" s="25"/>
      <c r="D487" s="312">
        <f>0.19*2.57*(4.74+0.09+2.02+4.54+4.8)</f>
        <v>7.9055770000000001</v>
      </c>
      <c r="E487" s="25"/>
      <c r="F487" s="235"/>
    </row>
    <row r="488" spans="1:7" x14ac:dyDescent="0.2">
      <c r="A488" s="234"/>
      <c r="B488" s="12"/>
      <c r="C488" s="25"/>
      <c r="D488" s="65"/>
      <c r="E488" s="25"/>
      <c r="F488" s="235"/>
    </row>
    <row r="489" spans="1:7" x14ac:dyDescent="0.2">
      <c r="A489" s="234"/>
      <c r="B489" s="25" t="s">
        <v>836</v>
      </c>
      <c r="C489" s="25"/>
      <c r="D489" s="65"/>
      <c r="E489" s="25"/>
      <c r="F489" s="235"/>
    </row>
    <row r="490" spans="1:7" x14ac:dyDescent="0.2">
      <c r="A490" s="234"/>
      <c r="B490" s="26" t="s">
        <v>837</v>
      </c>
      <c r="C490" s="25"/>
      <c r="D490" s="29">
        <f>4*0.19*2.77*2.53</f>
        <v>5.3261559999999992</v>
      </c>
      <c r="E490" s="25"/>
      <c r="F490" s="235"/>
    </row>
    <row r="491" spans="1:7" x14ac:dyDescent="0.2">
      <c r="A491" s="234"/>
      <c r="B491" s="25"/>
      <c r="C491" s="25"/>
      <c r="D491" s="65"/>
      <c r="E491" s="25"/>
      <c r="F491" s="235"/>
    </row>
    <row r="492" spans="1:7" x14ac:dyDescent="0.2">
      <c r="A492" s="234"/>
      <c r="B492" s="25" t="s">
        <v>223</v>
      </c>
      <c r="C492" s="27" t="s">
        <v>41</v>
      </c>
      <c r="D492" s="65">
        <f>SUM(D487:D491)</f>
        <v>13.231732999999998</v>
      </c>
      <c r="E492" s="18"/>
      <c r="F492" s="249">
        <f>D492*E492</f>
        <v>0</v>
      </c>
      <c r="G492" s="105"/>
    </row>
    <row r="493" spans="1:7" x14ac:dyDescent="0.2">
      <c r="A493" s="234"/>
      <c r="B493" s="96"/>
      <c r="C493" s="25"/>
      <c r="D493" s="65"/>
      <c r="E493" s="25"/>
      <c r="F493" s="235"/>
    </row>
    <row r="494" spans="1:7" ht="51" x14ac:dyDescent="0.2">
      <c r="A494" s="234" t="s">
        <v>94</v>
      </c>
      <c r="B494" s="20" t="s">
        <v>359</v>
      </c>
      <c r="C494" s="25"/>
      <c r="D494" s="65"/>
      <c r="E494" s="25"/>
      <c r="F494" s="235"/>
    </row>
    <row r="495" spans="1:7" ht="51" x14ac:dyDescent="0.2">
      <c r="A495" s="234"/>
      <c r="B495" s="20" t="s">
        <v>222</v>
      </c>
      <c r="C495" s="25"/>
      <c r="D495" s="65"/>
      <c r="E495" s="25"/>
      <c r="F495" s="235"/>
    </row>
    <row r="496" spans="1:7" ht="51" x14ac:dyDescent="0.2">
      <c r="A496" s="234"/>
      <c r="B496" s="20" t="s">
        <v>370</v>
      </c>
      <c r="C496" s="25"/>
      <c r="D496" s="65"/>
      <c r="E496" s="25"/>
      <c r="F496" s="235"/>
    </row>
    <row r="497" spans="1:6" ht="38.25" x14ac:dyDescent="0.2">
      <c r="A497" s="234"/>
      <c r="B497" s="139" t="s">
        <v>101</v>
      </c>
      <c r="C497" s="25"/>
      <c r="D497" s="65"/>
      <c r="E497" s="25"/>
      <c r="F497" s="235"/>
    </row>
    <row r="498" spans="1:6" x14ac:dyDescent="0.2">
      <c r="A498" s="234"/>
      <c r="B498" s="139"/>
      <c r="C498" s="25"/>
      <c r="D498" s="65"/>
      <c r="E498" s="25"/>
      <c r="F498" s="235"/>
    </row>
    <row r="499" spans="1:6" x14ac:dyDescent="0.2">
      <c r="A499" s="234"/>
      <c r="B499" s="139" t="s">
        <v>175</v>
      </c>
      <c r="C499" s="25"/>
      <c r="D499" s="65"/>
      <c r="E499" s="25"/>
      <c r="F499" s="235"/>
    </row>
    <row r="500" spans="1:6" x14ac:dyDescent="0.2">
      <c r="A500" s="339"/>
      <c r="B500" s="365" t="s">
        <v>712</v>
      </c>
      <c r="C500" s="347"/>
      <c r="D500" s="366">
        <f>2.57*4.54</f>
        <v>11.6678</v>
      </c>
      <c r="E500" s="347"/>
      <c r="F500" s="349"/>
    </row>
    <row r="501" spans="1:6" x14ac:dyDescent="0.2">
      <c r="A501" s="234"/>
      <c r="B501" s="139"/>
      <c r="C501" s="25"/>
      <c r="D501" s="65"/>
      <c r="E501" s="25"/>
      <c r="F501" s="235"/>
    </row>
    <row r="502" spans="1:6" x14ac:dyDescent="0.2">
      <c r="A502" s="234"/>
      <c r="B502" s="25" t="s">
        <v>28</v>
      </c>
      <c r="C502" s="25"/>
      <c r="D502" s="65"/>
      <c r="E502" s="25"/>
      <c r="F502" s="235"/>
    </row>
    <row r="503" spans="1:6" ht="127.5" x14ac:dyDescent="0.2">
      <c r="A503" s="234"/>
      <c r="B503" s="26" t="s">
        <v>715</v>
      </c>
      <c r="C503" s="25"/>
      <c r="D503" s="29">
        <f>2.77*(6.75+3.15+1+2.05+2.5*2+0.83+0.18+1.06+2+1.5+0.76+2.3+2.2+0.8+1.57+6.28+6.8+2.48*2+0.4+0.98+3.18+2.07+1+2+0.31+1.7+2+1.6*2+2.6*2+3.95+0.34+3.34+1.95+4+1.1+2.15+1.74+2.65*2+1.57+2.5+1.57+6.28+2.15+1.7*2+5.32+3.17+3.04+0.92+0.59+2.6+4.54+0.25+1.745)+1.18*(2.75+1.78+2.88+1.73+2.15)-(0.9*2.05*8+0.8*2.05*22)</f>
        <v>335.72585000000015</v>
      </c>
      <c r="E503" s="25"/>
      <c r="F503" s="235"/>
    </row>
    <row r="504" spans="1:6" x14ac:dyDescent="0.2">
      <c r="A504" s="234"/>
      <c r="B504" s="25"/>
      <c r="C504" s="25"/>
      <c r="D504" s="65"/>
      <c r="E504" s="25"/>
      <c r="F504" s="235"/>
    </row>
    <row r="505" spans="1:6" x14ac:dyDescent="0.2">
      <c r="A505" s="234"/>
      <c r="B505" s="25" t="s">
        <v>746</v>
      </c>
      <c r="C505" s="25"/>
      <c r="D505" s="65"/>
      <c r="E505" s="25"/>
      <c r="F505" s="235"/>
    </row>
    <row r="506" spans="1:6" ht="140.25" x14ac:dyDescent="0.2">
      <c r="A506" s="234"/>
      <c r="B506" s="26" t="s">
        <v>762</v>
      </c>
      <c r="C506" s="25"/>
      <c r="D506" s="29">
        <f>2.77*(6.75+3.15+1+2.05+2.5*2+0.83+0.18+1.06+2+1.5+0.76+2.3+2.2+0.8+1.57+6.28+6.8+2.48*2+0.4+0.98+3.18+2.07+1+2+0.31+1.7+2+1.6*2+2.6*2+3.95+0.34+3.34+1.95+4+1.1+2.15+1.74+2.65*2+1.57+2.5+1.57+6.28+2.15+1.7*2+5.32+3.17+3.04+0.92+0.59+2.6+4.54+0.25+1.745+2.06+0.98+2.77+2.27+4.62+1.57)+1.18*(2.75+1.78+2.88+1.73+2.15+2)-(0.9*2.05*10+0.8*2.05*23)</f>
        <v>372.28375000000011</v>
      </c>
      <c r="E506" s="25"/>
      <c r="F506" s="235"/>
    </row>
    <row r="507" spans="1:6" x14ac:dyDescent="0.2">
      <c r="A507" s="234"/>
      <c r="B507" s="25"/>
      <c r="C507" s="25"/>
      <c r="D507" s="65"/>
      <c r="E507" s="25"/>
      <c r="F507" s="235"/>
    </row>
    <row r="508" spans="1:6" x14ac:dyDescent="0.2">
      <c r="A508" s="234"/>
      <c r="B508" s="25" t="s">
        <v>750</v>
      </c>
      <c r="C508" s="25"/>
      <c r="D508" s="65"/>
      <c r="E508" s="25"/>
      <c r="F508" s="235"/>
    </row>
    <row r="509" spans="1:6" s="74" customFormat="1" ht="140.25" x14ac:dyDescent="0.2">
      <c r="A509" s="234"/>
      <c r="B509" s="26" t="s">
        <v>763</v>
      </c>
      <c r="C509" s="25"/>
      <c r="D509" s="60">
        <f>2*(2.77*(6.75+3.15+1+2.05+2.5*2+0.83+0.18+1.06+2+1.5+0.76+2.3+2.2+0.8+1.57+6.28+6.8+2.48*2+0.4+0.98+3.18+2.07+1+2+0.31+1.7+2+1.6*2+2.6*2+3.95+0.34+3.34+1.95+4+1.1+2.15+1.74+2.65*2+1.57+2.5+1.57+6.28+2.15+1.7*2+5.32+3.17+3.04+0.92+0.59+2.6+4.54+0.25+1.745+2.06+0.98+2.77+2.27+4.62+1.57)+1.18*(2.75+1.78+2.88+1.73+2.15+2)-(0.9*2.05*10+0.8*2.05*23))</f>
        <v>744.56750000000022</v>
      </c>
      <c r="E509" s="25"/>
      <c r="F509" s="235"/>
    </row>
    <row r="510" spans="1:6" x14ac:dyDescent="0.2">
      <c r="A510" s="234"/>
      <c r="B510" s="25"/>
      <c r="C510" s="25"/>
      <c r="D510" s="65"/>
      <c r="E510" s="23"/>
      <c r="F510" s="235"/>
    </row>
    <row r="511" spans="1:6" x14ac:dyDescent="0.2">
      <c r="A511" s="234"/>
      <c r="B511" s="25" t="s">
        <v>776</v>
      </c>
      <c r="C511" s="25"/>
      <c r="D511" s="65"/>
      <c r="E511" s="23"/>
      <c r="F511" s="235"/>
    </row>
    <row r="512" spans="1:6" ht="140.25" x14ac:dyDescent="0.2">
      <c r="A512" s="339"/>
      <c r="B512" s="354" t="s">
        <v>838</v>
      </c>
      <c r="C512" s="347"/>
      <c r="D512" s="342">
        <f>2.67*(6.75+3.15+1+2.05+2.5*2+0.83+0.18+1.06+2+1.5+0.76+2.3+2.2+0.8+1.57+6.28+6.8+2.48*2+0.4+0.98+3.18+2.07+1+2+0.31+1.7+2+1.6*2+2.6*2+3.95+0.34+3.34+1.95+4+1.1+2.15+1.74+2.65*2+1.57+2.5+1.57+6.28+2.15+1.7*2+5.32+3.17+3.04+0.92+0.59+2.6+4.54+0.25+1.745+2.06+0.98+2.77+2.27+4.62+1.57)+1.18*(2.75+1.78+2.88+1.73+2.15+2)-(0.9*2.05*10+0.8*2.05*23)</f>
        <v>357.38225000000011</v>
      </c>
      <c r="E512" s="366"/>
      <c r="F512" s="349"/>
    </row>
    <row r="513" spans="1:7" x14ac:dyDescent="0.2">
      <c r="A513" s="234"/>
      <c r="B513" s="25"/>
      <c r="C513" s="25"/>
      <c r="D513" s="65"/>
      <c r="E513" s="23"/>
      <c r="F513" s="235"/>
      <c r="G513" s="11"/>
    </row>
    <row r="514" spans="1:7" ht="25.5" x14ac:dyDescent="0.2">
      <c r="A514" s="234"/>
      <c r="B514" s="26" t="s">
        <v>1581</v>
      </c>
      <c r="C514" s="25"/>
      <c r="D514" s="60"/>
      <c r="E514" s="23"/>
      <c r="F514" s="235"/>
      <c r="G514" s="11"/>
    </row>
    <row r="515" spans="1:7" x14ac:dyDescent="0.2">
      <c r="A515" s="234"/>
      <c r="B515" s="26" t="s">
        <v>1582</v>
      </c>
      <c r="C515" s="25"/>
      <c r="D515" s="60">
        <f>1.2*(3*2+2.8*6)</f>
        <v>27.359999999999996</v>
      </c>
      <c r="E515" s="23"/>
      <c r="F515" s="235"/>
      <c r="G515" s="11"/>
    </row>
    <row r="516" spans="1:7" x14ac:dyDescent="0.2">
      <c r="A516" s="234"/>
      <c r="B516" s="25"/>
      <c r="C516" s="25"/>
      <c r="D516" s="65"/>
      <c r="E516" s="23"/>
      <c r="F516" s="235"/>
      <c r="G516" s="11"/>
    </row>
    <row r="517" spans="1:7" x14ac:dyDescent="0.2">
      <c r="A517" s="234"/>
      <c r="B517" s="25" t="s">
        <v>224</v>
      </c>
      <c r="C517" s="27" t="s">
        <v>39</v>
      </c>
      <c r="D517" s="65">
        <f>SUM(D499:D516)</f>
        <v>1848.9871500000006</v>
      </c>
      <c r="E517" s="12"/>
      <c r="F517" s="249">
        <f>D517*E517</f>
        <v>0</v>
      </c>
      <c r="G517" s="11"/>
    </row>
    <row r="518" spans="1:7" x14ac:dyDescent="0.2">
      <c r="A518" s="234"/>
      <c r="B518" s="74"/>
      <c r="C518" s="27"/>
      <c r="D518" s="65"/>
      <c r="E518" s="12"/>
      <c r="F518" s="249"/>
      <c r="G518" s="11"/>
    </row>
    <row r="519" spans="1:7" ht="127.5" x14ac:dyDescent="0.2">
      <c r="A519" s="234" t="s">
        <v>95</v>
      </c>
      <c r="B519" s="28" t="s">
        <v>729</v>
      </c>
      <c r="C519" s="27"/>
      <c r="D519" s="65"/>
      <c r="E519" s="12"/>
      <c r="F519" s="249"/>
      <c r="G519" s="11"/>
    </row>
    <row r="520" spans="1:7" ht="38.25" x14ac:dyDescent="0.2">
      <c r="A520" s="234"/>
      <c r="B520" s="34" t="s">
        <v>101</v>
      </c>
      <c r="C520" s="27"/>
      <c r="D520" s="65"/>
      <c r="E520" s="12"/>
      <c r="F520" s="249"/>
      <c r="G520" s="11"/>
    </row>
    <row r="521" spans="1:7" x14ac:dyDescent="0.2">
      <c r="A521" s="234"/>
      <c r="B521" s="25"/>
      <c r="C521" s="27"/>
      <c r="D521" s="65"/>
      <c r="E521" s="12"/>
      <c r="F521" s="249"/>
      <c r="G521" s="11"/>
    </row>
    <row r="522" spans="1:7" x14ac:dyDescent="0.2">
      <c r="A522" s="247"/>
      <c r="B522" s="25"/>
      <c r="C522" s="27"/>
      <c r="D522" s="65"/>
      <c r="E522" s="12"/>
      <c r="F522" s="249"/>
      <c r="G522" s="11"/>
    </row>
    <row r="523" spans="1:7" x14ac:dyDescent="0.2">
      <c r="A523" s="234"/>
      <c r="B523" s="25" t="s">
        <v>28</v>
      </c>
      <c r="C523" s="25"/>
      <c r="D523" s="65"/>
      <c r="E523" s="23"/>
      <c r="F523" s="235"/>
      <c r="G523" s="11"/>
    </row>
    <row r="524" spans="1:7" x14ac:dyDescent="0.2">
      <c r="A524" s="234"/>
      <c r="B524" s="26" t="s">
        <v>711</v>
      </c>
      <c r="C524" s="25"/>
      <c r="D524" s="29">
        <f>2.77*(0.69+0.35)</f>
        <v>2.8808000000000002</v>
      </c>
      <c r="E524" s="23"/>
      <c r="F524" s="235"/>
      <c r="G524" s="11"/>
    </row>
    <row r="525" spans="1:7" x14ac:dyDescent="0.2">
      <c r="A525" s="234"/>
      <c r="B525" s="25"/>
      <c r="C525" s="25"/>
      <c r="D525" s="65"/>
      <c r="E525" s="23"/>
      <c r="F525" s="235"/>
      <c r="G525" s="11"/>
    </row>
    <row r="526" spans="1:7" x14ac:dyDescent="0.2">
      <c r="A526" s="234"/>
      <c r="B526" s="25" t="s">
        <v>764</v>
      </c>
      <c r="C526" s="25"/>
      <c r="D526" s="65"/>
      <c r="E526" s="23"/>
      <c r="F526" s="235"/>
      <c r="G526" s="11"/>
    </row>
    <row r="527" spans="1:7" x14ac:dyDescent="0.2">
      <c r="A527" s="234"/>
      <c r="B527" s="26" t="s">
        <v>711</v>
      </c>
      <c r="C527" s="25"/>
      <c r="D527" s="29">
        <f>2.77*(0.69+0.35)</f>
        <v>2.8808000000000002</v>
      </c>
      <c r="E527" s="23"/>
      <c r="F527" s="235"/>
      <c r="G527" s="11"/>
    </row>
    <row r="528" spans="1:7" x14ac:dyDescent="0.2">
      <c r="A528" s="234"/>
      <c r="B528" s="25"/>
      <c r="C528" s="25"/>
      <c r="D528" s="65"/>
      <c r="E528" s="23"/>
      <c r="F528" s="235"/>
      <c r="G528" s="11"/>
    </row>
    <row r="529" spans="1:7" x14ac:dyDescent="0.2">
      <c r="A529" s="234"/>
      <c r="B529" s="25" t="s">
        <v>750</v>
      </c>
      <c r="C529" s="25"/>
      <c r="D529" s="65"/>
      <c r="E529" s="23"/>
      <c r="F529" s="235"/>
      <c r="G529" s="11"/>
    </row>
    <row r="530" spans="1:7" x14ac:dyDescent="0.2">
      <c r="A530" s="234"/>
      <c r="B530" s="26" t="s">
        <v>765</v>
      </c>
      <c r="C530" s="25"/>
      <c r="D530" s="29">
        <f>2*2.77*(0.69+0.35)</f>
        <v>5.7616000000000005</v>
      </c>
      <c r="E530" s="23"/>
      <c r="F530" s="235"/>
      <c r="G530" s="11"/>
    </row>
    <row r="531" spans="1:7" x14ac:dyDescent="0.2">
      <c r="A531" s="234"/>
      <c r="B531" s="66"/>
      <c r="C531" s="25"/>
      <c r="D531" s="29"/>
      <c r="E531" s="23"/>
      <c r="F531" s="235"/>
      <c r="G531" s="11"/>
    </row>
    <row r="532" spans="1:7" x14ac:dyDescent="0.2">
      <c r="A532" s="234"/>
      <c r="B532" s="66" t="s">
        <v>776</v>
      </c>
      <c r="C532" s="25"/>
      <c r="D532" s="29"/>
      <c r="E532" s="23"/>
      <c r="F532" s="235"/>
      <c r="G532" s="11"/>
    </row>
    <row r="533" spans="1:7" x14ac:dyDescent="0.2">
      <c r="A533" s="234"/>
      <c r="B533" s="26" t="s">
        <v>711</v>
      </c>
      <c r="C533" s="25"/>
      <c r="D533" s="29">
        <f>2.77*(0.69+0.35)</f>
        <v>2.8808000000000002</v>
      </c>
      <c r="E533" s="23"/>
      <c r="F533" s="235"/>
      <c r="G533" s="11"/>
    </row>
    <row r="534" spans="1:7" x14ac:dyDescent="0.2">
      <c r="A534" s="234"/>
      <c r="B534" s="26"/>
      <c r="C534" s="25"/>
      <c r="D534" s="29"/>
      <c r="E534" s="23"/>
      <c r="F534" s="235"/>
      <c r="G534" s="11"/>
    </row>
    <row r="535" spans="1:7" x14ac:dyDescent="0.2">
      <c r="A535" s="234"/>
      <c r="B535" s="25" t="s">
        <v>1622</v>
      </c>
      <c r="C535" s="27" t="s">
        <v>39</v>
      </c>
      <c r="D535" s="65">
        <f>SUM(D523:D534)</f>
        <v>14.404000000000002</v>
      </c>
      <c r="E535" s="12"/>
      <c r="F535" s="235">
        <f>D535*E535</f>
        <v>0</v>
      </c>
      <c r="G535" s="11"/>
    </row>
    <row r="536" spans="1:7" x14ac:dyDescent="0.2">
      <c r="A536" s="234"/>
      <c r="B536" s="25"/>
      <c r="C536" s="27"/>
      <c r="D536" s="65"/>
      <c r="E536" s="12"/>
      <c r="F536" s="235"/>
      <c r="G536" s="11"/>
    </row>
    <row r="537" spans="1:7" s="74" customFormat="1" ht="25.5" x14ac:dyDescent="0.2">
      <c r="A537" s="234" t="s">
        <v>96</v>
      </c>
      <c r="B537" s="25" t="s">
        <v>371</v>
      </c>
      <c r="C537" s="25"/>
      <c r="D537" s="65"/>
      <c r="E537" s="23"/>
      <c r="F537" s="235"/>
    </row>
    <row r="538" spans="1:7" s="74" customFormat="1" ht="51" x14ac:dyDescent="0.2">
      <c r="A538" s="234"/>
      <c r="B538" s="25" t="s">
        <v>372</v>
      </c>
      <c r="C538" s="25"/>
      <c r="D538" s="65"/>
      <c r="E538" s="23"/>
      <c r="F538" s="235"/>
    </row>
    <row r="539" spans="1:7" s="74" customFormat="1" ht="51" x14ac:dyDescent="0.2">
      <c r="A539" s="234"/>
      <c r="B539" s="25" t="s">
        <v>373</v>
      </c>
      <c r="C539" s="25"/>
      <c r="D539" s="65"/>
      <c r="E539" s="23"/>
      <c r="F539" s="235"/>
    </row>
    <row r="540" spans="1:7" s="74" customFormat="1" ht="25.5" x14ac:dyDescent="0.2">
      <c r="A540" s="339"/>
      <c r="B540" s="347" t="s">
        <v>374</v>
      </c>
      <c r="C540" s="347"/>
      <c r="D540" s="348"/>
      <c r="E540" s="366"/>
      <c r="F540" s="349"/>
    </row>
    <row r="541" spans="1:7" s="74" customFormat="1" x14ac:dyDescent="0.2">
      <c r="A541" s="234"/>
      <c r="C541" s="25"/>
      <c r="D541" s="65"/>
      <c r="E541" s="23"/>
      <c r="F541" s="235"/>
    </row>
    <row r="542" spans="1:7" s="74" customFormat="1" ht="89.25" x14ac:dyDescent="0.2">
      <c r="A542" s="234"/>
      <c r="B542" s="223" t="s">
        <v>375</v>
      </c>
      <c r="C542" s="25"/>
      <c r="D542" s="65"/>
      <c r="E542" s="23"/>
      <c r="F542" s="235"/>
    </row>
    <row r="543" spans="1:7" s="74" customFormat="1" ht="38.25" x14ac:dyDescent="0.2">
      <c r="A543" s="234"/>
      <c r="B543" s="1" t="s">
        <v>376</v>
      </c>
      <c r="C543" s="25"/>
      <c r="D543" s="65"/>
      <c r="E543" s="23"/>
      <c r="F543" s="235"/>
    </row>
    <row r="544" spans="1:7" s="74" customFormat="1" x14ac:dyDescent="0.2">
      <c r="A544" s="234"/>
      <c r="B544" s="223" t="s">
        <v>97</v>
      </c>
      <c r="C544" s="25"/>
      <c r="D544" s="65"/>
      <c r="E544" s="23"/>
      <c r="F544" s="235"/>
      <c r="G544" s="74">
        <f>18/6*4</f>
        <v>12</v>
      </c>
    </row>
    <row r="545" spans="1:6" s="74" customFormat="1" x14ac:dyDescent="0.2">
      <c r="A545" s="234"/>
      <c r="B545" s="25"/>
      <c r="C545" s="25"/>
      <c r="D545" s="65"/>
      <c r="E545" s="23"/>
      <c r="F545" s="235"/>
    </row>
    <row r="546" spans="1:6" s="74" customFormat="1" x14ac:dyDescent="0.2">
      <c r="A546" s="234"/>
      <c r="B546" s="25" t="s">
        <v>123</v>
      </c>
      <c r="C546" s="25"/>
      <c r="D546" s="65"/>
      <c r="E546" s="23"/>
      <c r="F546" s="235"/>
    </row>
    <row r="547" spans="1:6" s="74" customFormat="1" x14ac:dyDescent="0.2">
      <c r="A547" s="234"/>
      <c r="B547" s="26" t="s">
        <v>716</v>
      </c>
      <c r="C547" s="25"/>
      <c r="D547" s="29">
        <f>2.95*22</f>
        <v>64.900000000000006</v>
      </c>
      <c r="E547" s="23"/>
      <c r="F547" s="235"/>
    </row>
    <row r="548" spans="1:6" s="74" customFormat="1" x14ac:dyDescent="0.2">
      <c r="A548" s="234"/>
      <c r="B548" s="26"/>
      <c r="C548" s="25"/>
      <c r="D548" s="29"/>
      <c r="E548" s="23"/>
      <c r="F548" s="235"/>
    </row>
    <row r="549" spans="1:6" s="74" customFormat="1" x14ac:dyDescent="0.2">
      <c r="A549" s="234"/>
      <c r="B549" s="26" t="s">
        <v>746</v>
      </c>
      <c r="C549" s="25"/>
      <c r="D549" s="29"/>
      <c r="E549" s="23"/>
      <c r="F549" s="235"/>
    </row>
    <row r="550" spans="1:6" s="74" customFormat="1" x14ac:dyDescent="0.2">
      <c r="A550" s="234"/>
      <c r="B550" s="26" t="s">
        <v>766</v>
      </c>
      <c r="C550" s="25"/>
      <c r="D550" s="29">
        <f>2.95*24</f>
        <v>70.800000000000011</v>
      </c>
      <c r="E550" s="23"/>
      <c r="F550" s="235"/>
    </row>
    <row r="551" spans="1:6" s="74" customFormat="1" x14ac:dyDescent="0.2">
      <c r="A551" s="234"/>
      <c r="B551" s="25"/>
      <c r="C551" s="25"/>
      <c r="D551" s="65"/>
      <c r="E551" s="23"/>
      <c r="F551" s="235"/>
    </row>
    <row r="552" spans="1:6" s="74" customFormat="1" x14ac:dyDescent="0.2">
      <c r="A552" s="234"/>
      <c r="B552" s="25" t="s">
        <v>750</v>
      </c>
      <c r="C552" s="25"/>
      <c r="D552" s="65"/>
      <c r="E552" s="23"/>
      <c r="F552" s="235"/>
    </row>
    <row r="553" spans="1:6" s="74" customFormat="1" x14ac:dyDescent="0.2">
      <c r="A553" s="234"/>
      <c r="B553" s="26" t="s">
        <v>767</v>
      </c>
      <c r="C553" s="25"/>
      <c r="D553" s="29">
        <f>2.95*24*2</f>
        <v>141.60000000000002</v>
      </c>
      <c r="E553" s="23"/>
      <c r="F553" s="235"/>
    </row>
    <row r="554" spans="1:6" s="74" customFormat="1" x14ac:dyDescent="0.2">
      <c r="A554" s="234"/>
      <c r="B554" s="26"/>
      <c r="C554" s="25"/>
      <c r="D554" s="29"/>
      <c r="E554" s="23"/>
      <c r="F554" s="235"/>
    </row>
    <row r="555" spans="1:6" s="74" customFormat="1" x14ac:dyDescent="0.2">
      <c r="A555" s="234"/>
      <c r="B555" s="26" t="s">
        <v>776</v>
      </c>
      <c r="C555" s="25"/>
      <c r="D555" s="29"/>
      <c r="E555" s="23"/>
      <c r="F555" s="235"/>
    </row>
    <row r="556" spans="1:6" s="74" customFormat="1" x14ac:dyDescent="0.2">
      <c r="A556" s="234"/>
      <c r="B556" s="26" t="s">
        <v>766</v>
      </c>
      <c r="C556" s="25"/>
      <c r="D556" s="29">
        <f>2.95*24</f>
        <v>70.800000000000011</v>
      </c>
      <c r="E556" s="23"/>
      <c r="F556" s="235"/>
    </row>
    <row r="557" spans="1:6" s="74" customFormat="1" x14ac:dyDescent="0.2">
      <c r="A557" s="234"/>
      <c r="B557" s="25"/>
      <c r="C557" s="25"/>
      <c r="D557" s="65"/>
      <c r="E557" s="23"/>
      <c r="F557" s="235"/>
    </row>
    <row r="558" spans="1:6" s="74" customFormat="1" x14ac:dyDescent="0.2">
      <c r="A558" s="234"/>
      <c r="B558" s="26" t="s">
        <v>147</v>
      </c>
      <c r="C558" s="27" t="s">
        <v>40</v>
      </c>
      <c r="D558" s="65">
        <f>SUM(D546:D557)</f>
        <v>348.10000000000008</v>
      </c>
      <c r="E558" s="23"/>
      <c r="F558" s="235">
        <f>D558*E558</f>
        <v>0</v>
      </c>
    </row>
    <row r="559" spans="1:6" s="74" customFormat="1" x14ac:dyDescent="0.2">
      <c r="A559" s="234"/>
      <c r="B559" s="25"/>
      <c r="C559" s="25"/>
      <c r="D559" s="65"/>
      <c r="E559" s="25"/>
      <c r="F559" s="235"/>
    </row>
    <row r="560" spans="1:6" s="74" customFormat="1" ht="51" x14ac:dyDescent="0.2">
      <c r="A560" s="234" t="s">
        <v>148</v>
      </c>
      <c r="B560" s="74" t="s">
        <v>377</v>
      </c>
      <c r="C560" s="25"/>
      <c r="D560" s="65"/>
      <c r="E560" s="23"/>
      <c r="F560" s="235"/>
    </row>
    <row r="561" spans="1:6" s="74" customFormat="1" ht="38.25" x14ac:dyDescent="0.2">
      <c r="A561" s="234"/>
      <c r="B561" s="74" t="s">
        <v>378</v>
      </c>
      <c r="C561" s="25"/>
      <c r="D561" s="65"/>
      <c r="E561" s="23"/>
      <c r="F561" s="235"/>
    </row>
    <row r="562" spans="1:6" s="74" customFormat="1" ht="63.75" x14ac:dyDescent="0.2">
      <c r="A562" s="234"/>
      <c r="B562" s="74" t="s">
        <v>379</v>
      </c>
      <c r="C562" s="25"/>
      <c r="D562" s="65"/>
      <c r="E562" s="23"/>
      <c r="F562" s="235"/>
    </row>
    <row r="563" spans="1:6" s="74" customFormat="1" x14ac:dyDescent="0.2">
      <c r="A563" s="234"/>
      <c r="B563" s="168" t="s">
        <v>42</v>
      </c>
      <c r="C563" s="25"/>
      <c r="D563" s="65"/>
      <c r="E563" s="23"/>
      <c r="F563" s="235"/>
    </row>
    <row r="564" spans="1:6" s="74" customFormat="1" x14ac:dyDescent="0.2">
      <c r="A564" s="234"/>
      <c r="B564" s="61"/>
      <c r="C564" s="25"/>
      <c r="D564" s="65"/>
      <c r="E564" s="23"/>
      <c r="F564" s="235"/>
    </row>
    <row r="565" spans="1:6" s="74" customFormat="1" ht="25.5" x14ac:dyDescent="0.2">
      <c r="A565" s="234"/>
      <c r="B565" s="81" t="s">
        <v>380</v>
      </c>
      <c r="C565" s="25"/>
      <c r="D565" s="65"/>
      <c r="E565" s="23"/>
      <c r="F565" s="235"/>
    </row>
    <row r="566" spans="1:6" s="74" customFormat="1" x14ac:dyDescent="0.2">
      <c r="A566" s="234"/>
      <c r="B566" s="25" t="s">
        <v>28</v>
      </c>
      <c r="C566" s="25"/>
      <c r="D566" s="65"/>
      <c r="E566" s="23"/>
      <c r="F566" s="235"/>
    </row>
    <row r="567" spans="1:6" s="74" customFormat="1" x14ac:dyDescent="0.2">
      <c r="A567" s="234"/>
      <c r="B567" s="26" t="s">
        <v>719</v>
      </c>
      <c r="C567" s="25"/>
      <c r="D567" s="29">
        <f>2.77*1.48</f>
        <v>4.0995999999999997</v>
      </c>
      <c r="E567" s="23"/>
      <c r="F567" s="235"/>
    </row>
    <row r="568" spans="1:6" s="74" customFormat="1" x14ac:dyDescent="0.2">
      <c r="A568" s="234"/>
      <c r="B568" s="25"/>
      <c r="C568" s="25"/>
      <c r="D568" s="65"/>
      <c r="E568" s="23"/>
      <c r="F568" s="235"/>
    </row>
    <row r="569" spans="1:6" s="74" customFormat="1" x14ac:dyDescent="0.2">
      <c r="A569" s="234"/>
      <c r="B569" s="25" t="s">
        <v>746</v>
      </c>
      <c r="C569" s="25"/>
      <c r="D569" s="65"/>
      <c r="E569" s="23"/>
      <c r="F569" s="235"/>
    </row>
    <row r="570" spans="1:6" s="74" customFormat="1" x14ac:dyDescent="0.2">
      <c r="A570" s="234"/>
      <c r="B570" s="26" t="s">
        <v>719</v>
      </c>
      <c r="C570" s="25"/>
      <c r="D570" s="29">
        <f>2.77*1.48</f>
        <v>4.0995999999999997</v>
      </c>
      <c r="E570" s="23"/>
      <c r="F570" s="235"/>
    </row>
    <row r="571" spans="1:6" s="74" customFormat="1" x14ac:dyDescent="0.2">
      <c r="A571" s="234"/>
      <c r="B571" s="25"/>
      <c r="C571" s="25"/>
      <c r="D571" s="65"/>
      <c r="E571" s="23"/>
      <c r="F571" s="235"/>
    </row>
    <row r="572" spans="1:6" s="74" customFormat="1" x14ac:dyDescent="0.2">
      <c r="A572" s="234"/>
      <c r="B572" s="25" t="s">
        <v>750</v>
      </c>
      <c r="C572" s="25"/>
      <c r="D572" s="65"/>
      <c r="E572" s="23"/>
      <c r="F572" s="235"/>
    </row>
    <row r="573" spans="1:6" s="74" customFormat="1" x14ac:dyDescent="0.2">
      <c r="A573" s="339"/>
      <c r="B573" s="354" t="s">
        <v>768</v>
      </c>
      <c r="C573" s="347"/>
      <c r="D573" s="342">
        <f>2*2.77*1.48</f>
        <v>8.1991999999999994</v>
      </c>
      <c r="E573" s="366"/>
      <c r="F573" s="349"/>
    </row>
    <row r="574" spans="1:6" s="74" customFormat="1" x14ac:dyDescent="0.2">
      <c r="A574" s="234"/>
      <c r="B574" s="66"/>
      <c r="C574" s="25"/>
      <c r="D574" s="29"/>
      <c r="E574" s="23"/>
      <c r="F574" s="235"/>
    </row>
    <row r="575" spans="1:6" s="74" customFormat="1" x14ac:dyDescent="0.2">
      <c r="A575" s="234"/>
      <c r="B575" s="26" t="s">
        <v>776</v>
      </c>
      <c r="C575" s="25"/>
      <c r="D575" s="29"/>
      <c r="E575" s="23"/>
      <c r="F575" s="235"/>
    </row>
    <row r="576" spans="1:6" s="74" customFormat="1" x14ac:dyDescent="0.2">
      <c r="A576" s="234"/>
      <c r="B576" s="26" t="s">
        <v>719</v>
      </c>
      <c r="C576" s="25"/>
      <c r="D576" s="29">
        <f>2.77*1.48</f>
        <v>4.0995999999999997</v>
      </c>
      <c r="E576" s="23"/>
      <c r="F576" s="235"/>
    </row>
    <row r="577" spans="1:8" s="74" customFormat="1" x14ac:dyDescent="0.2">
      <c r="A577" s="234"/>
      <c r="C577" s="25"/>
      <c r="D577" s="65"/>
      <c r="E577" s="23"/>
      <c r="F577" s="235"/>
      <c r="H577" s="195"/>
    </row>
    <row r="578" spans="1:8" s="74" customFormat="1" x14ac:dyDescent="0.2">
      <c r="A578" s="234"/>
      <c r="B578" s="25" t="s">
        <v>385</v>
      </c>
      <c r="C578" s="27" t="s">
        <v>39</v>
      </c>
      <c r="D578" s="65">
        <f>SUM(D567:D577)</f>
        <v>20.497999999999998</v>
      </c>
      <c r="E578" s="12"/>
      <c r="F578" s="235">
        <f>D578*E578</f>
        <v>0</v>
      </c>
    </row>
    <row r="579" spans="1:8" s="74" customFormat="1" x14ac:dyDescent="0.2">
      <c r="A579" s="234"/>
      <c r="B579" s="25"/>
      <c r="C579" s="25"/>
      <c r="D579" s="65"/>
      <c r="E579" s="25"/>
      <c r="F579" s="235"/>
    </row>
    <row r="580" spans="1:8" s="74" customFormat="1" ht="51" x14ac:dyDescent="0.2">
      <c r="A580" s="234" t="s">
        <v>149</v>
      </c>
      <c r="B580" s="74" t="s">
        <v>381</v>
      </c>
      <c r="C580" s="25"/>
      <c r="D580" s="65"/>
      <c r="E580" s="25"/>
      <c r="F580" s="235"/>
    </row>
    <row r="581" spans="1:8" s="74" customFormat="1" ht="38.25" x14ac:dyDescent="0.2">
      <c r="A581" s="234"/>
      <c r="B581" s="74" t="s">
        <v>378</v>
      </c>
      <c r="C581" s="25"/>
      <c r="D581" s="65"/>
      <c r="E581" s="25"/>
      <c r="F581" s="235"/>
    </row>
    <row r="582" spans="1:8" s="74" customFormat="1" ht="51" x14ac:dyDescent="0.2">
      <c r="A582" s="234"/>
      <c r="B582" s="74" t="s">
        <v>382</v>
      </c>
      <c r="C582" s="25"/>
      <c r="D582" s="65"/>
      <c r="E582" s="25"/>
      <c r="F582" s="235"/>
    </row>
    <row r="583" spans="1:8" s="74" customFormat="1" ht="25.5" x14ac:dyDescent="0.2">
      <c r="A583" s="234"/>
      <c r="B583" s="74" t="s">
        <v>383</v>
      </c>
      <c r="C583" s="25"/>
      <c r="D583" s="65"/>
      <c r="E583" s="25"/>
      <c r="F583" s="235"/>
    </row>
    <row r="584" spans="1:8" s="74" customFormat="1" ht="38.25" x14ac:dyDescent="0.2">
      <c r="A584" s="234"/>
      <c r="B584" s="74" t="s">
        <v>384</v>
      </c>
      <c r="C584" s="25"/>
      <c r="D584" s="65"/>
      <c r="E584" s="25"/>
      <c r="F584" s="235"/>
    </row>
    <row r="585" spans="1:8" s="74" customFormat="1" x14ac:dyDescent="0.2">
      <c r="A585" s="234"/>
      <c r="B585" s="168" t="s">
        <v>42</v>
      </c>
      <c r="C585" s="25"/>
      <c r="D585" s="65"/>
      <c r="E585" s="25"/>
      <c r="F585" s="235"/>
    </row>
    <row r="586" spans="1:8" s="74" customFormat="1" x14ac:dyDescent="0.2">
      <c r="A586" s="234"/>
      <c r="B586" s="25"/>
      <c r="C586" s="25"/>
      <c r="D586" s="65"/>
      <c r="E586" s="25"/>
      <c r="F586" s="235"/>
    </row>
    <row r="587" spans="1:8" s="74" customFormat="1" x14ac:dyDescent="0.2">
      <c r="A587" s="234"/>
      <c r="B587" s="25" t="s">
        <v>28</v>
      </c>
      <c r="C587" s="25"/>
      <c r="D587" s="65"/>
      <c r="E587" s="23"/>
      <c r="F587" s="235"/>
    </row>
    <row r="588" spans="1:8" s="74" customFormat="1" ht="66" customHeight="1" x14ac:dyDescent="0.2">
      <c r="A588" s="234"/>
      <c r="B588" s="26" t="s">
        <v>717</v>
      </c>
      <c r="C588" s="25"/>
      <c r="D588" s="29">
        <f>2.77*(0.36+0.67+1+0.36+0.6+0.36+0.6+0.36+0.6+0.36+0.8+0.7+0.36+0.66+0.36+0.6+0.61+0.35+0.6+0.72*2+0.43+0.36+0.64+0.36+0.725+0.425+0.6+0.36+0.36+0.64+1+0.725+0.425)</f>
        <v>52.076000000000001</v>
      </c>
      <c r="E588" s="23"/>
      <c r="F588" s="235"/>
    </row>
    <row r="589" spans="1:8" s="74" customFormat="1" x14ac:dyDescent="0.2">
      <c r="A589" s="234"/>
      <c r="B589" s="25"/>
      <c r="C589" s="25"/>
      <c r="D589" s="65"/>
      <c r="E589" s="23"/>
      <c r="F589" s="235"/>
    </row>
    <row r="590" spans="1:8" s="74" customFormat="1" x14ac:dyDescent="0.2">
      <c r="A590" s="234"/>
      <c r="B590" s="25" t="s">
        <v>746</v>
      </c>
      <c r="C590" s="25"/>
      <c r="D590" s="65"/>
      <c r="E590" s="23"/>
      <c r="F590" s="235"/>
    </row>
    <row r="591" spans="1:8" s="74" customFormat="1" ht="76.5" x14ac:dyDescent="0.2">
      <c r="A591" s="234"/>
      <c r="B591" s="26" t="s">
        <v>769</v>
      </c>
      <c r="C591" s="25"/>
      <c r="D591" s="29">
        <f>2.77*(0.36+0.67+1+0.36+0.6+0.36+0.6+0.36+0.6+0.36+0.8+0.7+0.36+0.66+0.36+0.6+0.61+0.35+0.6+0.72*2+0.43+0.36+0.64+0.36+0.725+0.425+0.6+0.36+0.36+0.64+1+0.725+0.425+0.36*2+0.6*2)</f>
        <v>57.394399999999997</v>
      </c>
      <c r="E591" s="23"/>
      <c r="F591" s="235"/>
    </row>
    <row r="592" spans="1:8" s="74" customFormat="1" x14ac:dyDescent="0.2">
      <c r="A592" s="234"/>
      <c r="B592" s="25"/>
      <c r="C592" s="25"/>
      <c r="D592" s="65"/>
      <c r="E592" s="23"/>
      <c r="F592" s="235"/>
    </row>
    <row r="593" spans="1:16" s="74" customFormat="1" x14ac:dyDescent="0.2">
      <c r="A593" s="234"/>
      <c r="B593" s="25" t="s">
        <v>750</v>
      </c>
      <c r="C593" s="25"/>
      <c r="D593" s="65"/>
      <c r="E593" s="23"/>
      <c r="F593" s="235"/>
    </row>
    <row r="594" spans="1:16" s="74" customFormat="1" ht="76.5" x14ac:dyDescent="0.2">
      <c r="A594" s="339"/>
      <c r="B594" s="354" t="s">
        <v>770</v>
      </c>
      <c r="C594" s="347"/>
      <c r="D594" s="342">
        <f>2*2.77*(0.36+0.67+1+0.36+0.6+0.36+0.6+0.36+0.6+0.36+0.8+0.7+0.36+0.66+0.36+0.6+0.61+0.35+0.6+0.72*2+0.43+0.36+0.64+0.36+0.725+0.425+0.6+0.36+0.36+0.64+1+0.725+0.425+0.36*2+0.6*2)</f>
        <v>114.78879999999999</v>
      </c>
      <c r="E594" s="366"/>
      <c r="F594" s="349"/>
    </row>
    <row r="595" spans="1:16" s="74" customFormat="1" x14ac:dyDescent="0.2">
      <c r="A595" s="234"/>
      <c r="C595" s="25"/>
      <c r="D595" s="65"/>
      <c r="E595" s="23"/>
      <c r="F595" s="235"/>
    </row>
    <row r="596" spans="1:16" s="74" customFormat="1" x14ac:dyDescent="0.2">
      <c r="A596" s="234"/>
      <c r="B596" s="74" t="s">
        <v>776</v>
      </c>
      <c r="C596" s="25"/>
      <c r="D596" s="65"/>
      <c r="E596" s="23"/>
      <c r="F596" s="235"/>
    </row>
    <row r="597" spans="1:16" s="74" customFormat="1" ht="76.5" x14ac:dyDescent="0.2">
      <c r="A597" s="234"/>
      <c r="B597" s="26" t="s">
        <v>769</v>
      </c>
      <c r="C597" s="25"/>
      <c r="D597" s="29">
        <f>2.77*(0.36+0.67+1+0.36+0.6+0.36+0.6+0.36+0.6+0.36+0.8+0.7+0.36+0.66+0.36+0.6+0.61+0.35+0.6+0.72*2+0.43+0.36+0.64+0.36+0.725+0.425+0.6+0.36+0.36+0.64+1+0.725+0.425+0.36*2+0.6*2)</f>
        <v>57.394399999999997</v>
      </c>
      <c r="E597" s="23"/>
      <c r="F597" s="235"/>
    </row>
    <row r="598" spans="1:16" s="74" customFormat="1" x14ac:dyDescent="0.2">
      <c r="A598" s="234"/>
      <c r="C598" s="25"/>
      <c r="D598" s="65"/>
      <c r="E598" s="23"/>
      <c r="F598" s="235"/>
    </row>
    <row r="599" spans="1:16" s="74" customFormat="1" x14ac:dyDescent="0.2">
      <c r="A599" s="234"/>
      <c r="B599" s="25" t="s">
        <v>389</v>
      </c>
      <c r="C599" s="27" t="s">
        <v>39</v>
      </c>
      <c r="D599" s="65">
        <f>SUM(D588:D598)</f>
        <v>281.65359999999998</v>
      </c>
      <c r="E599" s="12"/>
      <c r="F599" s="235">
        <f>D599*E599</f>
        <v>0</v>
      </c>
    </row>
    <row r="600" spans="1:16" s="74" customFormat="1" x14ac:dyDescent="0.2">
      <c r="A600" s="234"/>
      <c r="B600" s="25"/>
      <c r="C600" s="27"/>
      <c r="D600" s="65"/>
      <c r="E600" s="25"/>
      <c r="F600" s="254"/>
      <c r="J600" s="196"/>
      <c r="K600" s="75"/>
      <c r="L600" s="98"/>
      <c r="M600" s="11"/>
      <c r="O600" s="89"/>
      <c r="P600" s="8"/>
    </row>
    <row r="601" spans="1:16" s="74" customFormat="1" ht="51" x14ac:dyDescent="0.2">
      <c r="A601" s="234" t="s">
        <v>181</v>
      </c>
      <c r="B601" s="74" t="s">
        <v>1605</v>
      </c>
      <c r="C601" s="25"/>
      <c r="D601" s="65"/>
      <c r="E601" s="25"/>
      <c r="F601" s="254"/>
      <c r="I601" s="10"/>
      <c r="J601" s="196"/>
      <c r="K601" s="75"/>
      <c r="L601" s="98"/>
      <c r="M601" s="11"/>
      <c r="O601" s="89"/>
      <c r="P601" s="8"/>
    </row>
    <row r="602" spans="1:16" s="74" customFormat="1" ht="25.5" x14ac:dyDescent="0.2">
      <c r="A602" s="234"/>
      <c r="B602" s="74" t="s">
        <v>386</v>
      </c>
      <c r="C602" s="25"/>
      <c r="D602" s="65"/>
      <c r="E602" s="25"/>
      <c r="F602" s="254"/>
      <c r="I602" s="10"/>
      <c r="J602" s="196"/>
      <c r="K602" s="75"/>
      <c r="L602" s="98"/>
      <c r="M602" s="11"/>
      <c r="O602" s="89"/>
      <c r="P602" s="8"/>
    </row>
    <row r="603" spans="1:16" s="74" customFormat="1" ht="38.25" x14ac:dyDescent="0.2">
      <c r="A603" s="234"/>
      <c r="B603" s="74" t="s">
        <v>387</v>
      </c>
      <c r="C603" s="25"/>
      <c r="D603" s="65"/>
      <c r="E603" s="25"/>
      <c r="F603" s="254"/>
      <c r="I603" s="10"/>
      <c r="J603" s="196"/>
      <c r="K603" s="75"/>
      <c r="L603" s="98"/>
      <c r="M603" s="11"/>
      <c r="O603" s="89"/>
      <c r="P603" s="8"/>
    </row>
    <row r="604" spans="1:16" s="74" customFormat="1" ht="25.5" x14ac:dyDescent="0.2">
      <c r="A604" s="234"/>
      <c r="B604" s="74" t="s">
        <v>388</v>
      </c>
      <c r="C604" s="25"/>
      <c r="D604" s="65"/>
      <c r="E604" s="25"/>
      <c r="F604" s="254"/>
      <c r="I604" s="10"/>
      <c r="J604" s="196"/>
      <c r="K604" s="75"/>
      <c r="L604" s="98"/>
      <c r="M604" s="11"/>
      <c r="O604" s="89"/>
      <c r="P604" s="8"/>
    </row>
    <row r="605" spans="1:16" s="74" customFormat="1" ht="38.25" x14ac:dyDescent="0.2">
      <c r="A605" s="234"/>
      <c r="B605" s="74" t="s">
        <v>384</v>
      </c>
      <c r="C605" s="25"/>
      <c r="D605" s="65"/>
      <c r="E605" s="25"/>
      <c r="F605" s="254"/>
      <c r="I605" s="10"/>
      <c r="J605" s="196"/>
      <c r="K605" s="75"/>
      <c r="L605" s="98"/>
      <c r="M605" s="11"/>
      <c r="O605" s="89"/>
      <c r="P605" s="8"/>
    </row>
    <row r="606" spans="1:16" s="74" customFormat="1" x14ac:dyDescent="0.2">
      <c r="A606" s="234"/>
      <c r="B606" s="168" t="s">
        <v>42</v>
      </c>
      <c r="C606" s="25"/>
      <c r="D606" s="65"/>
      <c r="E606" s="25"/>
      <c r="F606" s="254"/>
      <c r="I606" s="10"/>
      <c r="J606" s="196"/>
      <c r="K606" s="75"/>
      <c r="L606" s="98"/>
      <c r="M606" s="11"/>
      <c r="O606" s="89"/>
      <c r="P606" s="8"/>
    </row>
    <row r="607" spans="1:16" s="74" customFormat="1" x14ac:dyDescent="0.2">
      <c r="A607" s="234"/>
      <c r="B607" s="10"/>
      <c r="C607" s="25"/>
      <c r="D607" s="65"/>
      <c r="E607" s="25"/>
      <c r="F607" s="254"/>
      <c r="I607" s="10"/>
      <c r="J607" s="196"/>
      <c r="K607" s="75"/>
      <c r="L607" s="98"/>
      <c r="M607" s="11"/>
      <c r="O607" s="89"/>
      <c r="P607" s="8"/>
    </row>
    <row r="608" spans="1:16" s="74" customFormat="1" x14ac:dyDescent="0.2">
      <c r="A608" s="247" t="s">
        <v>1578</v>
      </c>
      <c r="B608" s="10" t="s">
        <v>1579</v>
      </c>
      <c r="C608" s="25"/>
      <c r="D608" s="25"/>
      <c r="E608" s="25"/>
      <c r="F608" s="254"/>
      <c r="I608" s="10"/>
      <c r="J608" s="196"/>
      <c r="K608" s="75"/>
      <c r="L608" s="98"/>
      <c r="M608" s="11"/>
      <c r="O608" s="89"/>
      <c r="P608" s="8"/>
    </row>
    <row r="609" spans="1:16" s="74" customFormat="1" x14ac:dyDescent="0.2">
      <c r="A609" s="434"/>
      <c r="B609" s="91" t="s">
        <v>1580</v>
      </c>
      <c r="C609" s="27" t="s">
        <v>39</v>
      </c>
      <c r="D609" s="91">
        <f>2.77*(0.72*2+0.39+0.38)*4</f>
        <v>24.486799999999999</v>
      </c>
      <c r="E609" s="12"/>
      <c r="F609" s="235">
        <f>D609*E609</f>
        <v>0</v>
      </c>
      <c r="I609" s="10"/>
      <c r="J609" s="196"/>
      <c r="K609" s="75"/>
      <c r="L609" s="98"/>
      <c r="M609" s="11"/>
      <c r="O609" s="89"/>
      <c r="P609" s="8"/>
    </row>
    <row r="610" spans="1:16" s="74" customFormat="1" x14ac:dyDescent="0.2">
      <c r="A610" s="234"/>
      <c r="B610" s="10"/>
      <c r="C610" s="25"/>
      <c r="D610" s="65"/>
      <c r="E610" s="25"/>
      <c r="F610" s="254"/>
      <c r="I610" s="10"/>
      <c r="J610" s="196"/>
      <c r="K610" s="75"/>
      <c r="L610" s="98"/>
      <c r="M610" s="11"/>
      <c r="O610" s="89"/>
      <c r="P610" s="8"/>
    </row>
    <row r="611" spans="1:16" s="74" customFormat="1" ht="25.5" x14ac:dyDescent="0.2">
      <c r="A611" s="247" t="s">
        <v>1576</v>
      </c>
      <c r="B611" s="10" t="s">
        <v>1577</v>
      </c>
      <c r="C611" s="25"/>
      <c r="D611" s="65"/>
      <c r="E611" s="25"/>
      <c r="F611" s="254"/>
      <c r="I611" s="10"/>
      <c r="J611" s="196"/>
      <c r="K611" s="75"/>
      <c r="L611" s="98"/>
      <c r="M611" s="11"/>
      <c r="O611" s="89"/>
      <c r="P611" s="8"/>
    </row>
    <row r="612" spans="1:16" s="74" customFormat="1" x14ac:dyDescent="0.2">
      <c r="A612" s="234"/>
      <c r="B612" s="10"/>
      <c r="C612" s="25"/>
      <c r="D612" s="65"/>
      <c r="E612" s="25"/>
      <c r="F612" s="254"/>
      <c r="I612" s="10"/>
      <c r="J612" s="196"/>
      <c r="K612" s="75"/>
      <c r="L612" s="98"/>
      <c r="M612" s="11"/>
      <c r="O612" s="89"/>
      <c r="P612" s="8"/>
    </row>
    <row r="613" spans="1:16" s="74" customFormat="1" x14ac:dyDescent="0.2">
      <c r="A613" s="247"/>
      <c r="B613" s="25" t="s">
        <v>28</v>
      </c>
      <c r="C613" s="25"/>
      <c r="D613" s="65"/>
      <c r="E613" s="23"/>
      <c r="F613" s="235"/>
      <c r="I613" s="10"/>
      <c r="J613" s="196"/>
      <c r="K613" s="75"/>
      <c r="L613" s="98"/>
      <c r="M613" s="11"/>
      <c r="O613" s="89"/>
      <c r="P613" s="8"/>
    </row>
    <row r="614" spans="1:16" s="74" customFormat="1" x14ac:dyDescent="0.2">
      <c r="A614" s="234"/>
      <c r="B614" s="26" t="s">
        <v>718</v>
      </c>
      <c r="C614" s="25"/>
      <c r="D614" s="29">
        <f>2.77*(0.61+0.38+0.6)-0.6*0.7*2</f>
        <v>3.5642999999999994</v>
      </c>
      <c r="E614" s="23"/>
      <c r="F614" s="235"/>
      <c r="I614" s="10"/>
      <c r="J614" s="196"/>
      <c r="K614" s="75"/>
      <c r="L614" s="98"/>
      <c r="M614" s="11"/>
      <c r="O614" s="89"/>
      <c r="P614" s="8"/>
    </row>
    <row r="615" spans="1:16" s="74" customFormat="1" x14ac:dyDescent="0.2">
      <c r="A615" s="234"/>
      <c r="B615" s="25"/>
      <c r="C615" s="25"/>
      <c r="D615" s="65"/>
      <c r="E615" s="23"/>
      <c r="F615" s="235"/>
      <c r="I615" s="10"/>
      <c r="J615" s="196"/>
      <c r="K615" s="75"/>
      <c r="L615" s="98"/>
      <c r="M615" s="11"/>
      <c r="O615" s="89"/>
      <c r="P615" s="8"/>
    </row>
    <row r="616" spans="1:16" s="74" customFormat="1" x14ac:dyDescent="0.2">
      <c r="A616" s="234"/>
      <c r="B616" s="25" t="s">
        <v>746</v>
      </c>
      <c r="C616" s="25"/>
      <c r="D616" s="65"/>
      <c r="E616" s="23"/>
      <c r="F616" s="235"/>
      <c r="I616" s="10"/>
      <c r="J616" s="196"/>
      <c r="K616" s="75"/>
      <c r="L616" s="98"/>
      <c r="M616" s="11"/>
      <c r="O616" s="89"/>
      <c r="P616" s="8"/>
    </row>
    <row r="617" spans="1:16" s="74" customFormat="1" x14ac:dyDescent="0.2">
      <c r="A617" s="234"/>
      <c r="B617" s="26" t="s">
        <v>718</v>
      </c>
      <c r="C617" s="25"/>
      <c r="D617" s="29">
        <f>2.77*(0.61+0.38+0.6)-0.6*0.7*2</f>
        <v>3.5642999999999994</v>
      </c>
      <c r="E617" s="23"/>
      <c r="F617" s="235"/>
      <c r="I617" s="10"/>
      <c r="J617" s="196"/>
      <c r="K617" s="75"/>
      <c r="L617" s="98"/>
      <c r="M617" s="11"/>
      <c r="O617" s="89"/>
      <c r="P617" s="8"/>
    </row>
    <row r="618" spans="1:16" s="74" customFormat="1" x14ac:dyDescent="0.2">
      <c r="A618" s="234"/>
      <c r="B618" s="25"/>
      <c r="C618" s="25"/>
      <c r="D618" s="65"/>
      <c r="E618" s="23"/>
      <c r="F618" s="235"/>
      <c r="I618" s="10"/>
      <c r="J618" s="196"/>
      <c r="K618" s="75"/>
      <c r="L618" s="98"/>
      <c r="M618" s="11"/>
      <c r="O618" s="89"/>
      <c r="P618" s="8"/>
    </row>
    <row r="619" spans="1:16" s="74" customFormat="1" x14ac:dyDescent="0.2">
      <c r="A619" s="234"/>
      <c r="B619" s="25" t="s">
        <v>750</v>
      </c>
      <c r="C619" s="25"/>
      <c r="D619" s="65"/>
      <c r="E619" s="23"/>
      <c r="F619" s="235"/>
      <c r="I619" s="10"/>
      <c r="J619" s="196"/>
      <c r="K619" s="75"/>
      <c r="L619" s="98"/>
      <c r="M619" s="11"/>
      <c r="O619" s="89"/>
      <c r="P619" s="8"/>
    </row>
    <row r="620" spans="1:16" s="74" customFormat="1" x14ac:dyDescent="0.2">
      <c r="A620" s="234"/>
      <c r="B620" s="26" t="s">
        <v>771</v>
      </c>
      <c r="C620" s="25"/>
      <c r="D620" s="29">
        <f>2*(2.77*(0.61+0.38+0.6)-0.6*0.7*2)</f>
        <v>7.1285999999999987</v>
      </c>
      <c r="E620" s="23"/>
      <c r="F620" s="235"/>
      <c r="I620" s="10"/>
      <c r="J620" s="196"/>
      <c r="K620" s="75"/>
      <c r="L620" s="98"/>
      <c r="M620" s="11"/>
      <c r="O620" s="89"/>
      <c r="P620" s="8"/>
    </row>
    <row r="621" spans="1:16" s="74" customFormat="1" x14ac:dyDescent="0.2">
      <c r="A621" s="234"/>
      <c r="B621" s="66"/>
      <c r="C621" s="25"/>
      <c r="D621" s="29"/>
      <c r="E621" s="23"/>
      <c r="F621" s="235"/>
      <c r="I621" s="10"/>
      <c r="J621" s="196"/>
      <c r="K621" s="75"/>
      <c r="L621" s="98"/>
      <c r="M621" s="11"/>
      <c r="O621" s="89"/>
      <c r="P621" s="8"/>
    </row>
    <row r="622" spans="1:16" s="74" customFormat="1" x14ac:dyDescent="0.2">
      <c r="A622" s="234"/>
      <c r="B622" s="74" t="s">
        <v>776</v>
      </c>
      <c r="C622" s="25"/>
      <c r="D622" s="29"/>
      <c r="E622" s="23"/>
      <c r="F622" s="235"/>
      <c r="I622" s="10"/>
      <c r="J622" s="196"/>
      <c r="K622" s="75"/>
      <c r="L622" s="98"/>
      <c r="M622" s="11"/>
      <c r="O622" s="89"/>
      <c r="P622" s="8"/>
    </row>
    <row r="623" spans="1:16" s="74" customFormat="1" x14ac:dyDescent="0.2">
      <c r="A623" s="234"/>
      <c r="B623" s="26" t="s">
        <v>718</v>
      </c>
      <c r="C623" s="25"/>
      <c r="D623" s="29">
        <f>2.77*(0.61+0.38+0.6)-0.6*0.7*2</f>
        <v>3.5642999999999994</v>
      </c>
      <c r="E623" s="23"/>
      <c r="F623" s="235"/>
      <c r="I623" s="10"/>
      <c r="J623" s="196"/>
      <c r="K623" s="75"/>
      <c r="L623" s="98"/>
      <c r="M623" s="11"/>
      <c r="O623" s="89"/>
      <c r="P623" s="8"/>
    </row>
    <row r="624" spans="1:16" x14ac:dyDescent="0.2">
      <c r="A624" s="234"/>
      <c r="B624" s="74"/>
      <c r="C624" s="25"/>
      <c r="D624" s="65"/>
      <c r="E624" s="23"/>
      <c r="F624" s="235"/>
    </row>
    <row r="625" spans="1:6" x14ac:dyDescent="0.2">
      <c r="A625" s="339"/>
      <c r="B625" s="347" t="s">
        <v>228</v>
      </c>
      <c r="C625" s="362" t="s">
        <v>39</v>
      </c>
      <c r="D625" s="348">
        <f>SUM(D614:D624)</f>
        <v>17.821499999999997</v>
      </c>
      <c r="E625" s="343"/>
      <c r="F625" s="349">
        <f>D625*E625</f>
        <v>0</v>
      </c>
    </row>
    <row r="626" spans="1:6" x14ac:dyDescent="0.2">
      <c r="A626" s="234"/>
      <c r="B626" s="25"/>
      <c r="C626" s="27"/>
      <c r="D626" s="65"/>
      <c r="E626" s="12"/>
      <c r="F626" s="235"/>
    </row>
    <row r="627" spans="1:6" ht="51" x14ac:dyDescent="0.2">
      <c r="A627" s="234" t="s">
        <v>63</v>
      </c>
      <c r="B627" s="74" t="s">
        <v>730</v>
      </c>
      <c r="C627" s="27"/>
      <c r="D627" s="65"/>
      <c r="E627" s="12"/>
      <c r="F627" s="235"/>
    </row>
    <row r="628" spans="1:6" ht="25.5" x14ac:dyDescent="0.2">
      <c r="A628" s="234"/>
      <c r="B628" s="74" t="s">
        <v>731</v>
      </c>
      <c r="C628" s="27"/>
      <c r="D628" s="65"/>
      <c r="E628" s="12"/>
      <c r="F628" s="235"/>
    </row>
    <row r="629" spans="1:6" ht="51" x14ac:dyDescent="0.2">
      <c r="A629" s="234"/>
      <c r="B629" s="74" t="s">
        <v>382</v>
      </c>
      <c r="C629" s="27"/>
      <c r="D629" s="65"/>
      <c r="E629" s="12"/>
      <c r="F629" s="235"/>
    </row>
    <row r="630" spans="1:6" ht="38.25" x14ac:dyDescent="0.2">
      <c r="A630" s="234"/>
      <c r="B630" s="74" t="s">
        <v>384</v>
      </c>
      <c r="C630" s="27"/>
      <c r="D630" s="65"/>
      <c r="E630" s="12"/>
      <c r="F630" s="235"/>
    </row>
    <row r="631" spans="1:6" x14ac:dyDescent="0.2">
      <c r="A631" s="234"/>
      <c r="B631" s="168" t="s">
        <v>42</v>
      </c>
      <c r="C631" s="27"/>
      <c r="D631" s="65"/>
      <c r="E631" s="12"/>
      <c r="F631" s="235"/>
    </row>
    <row r="632" spans="1:6" x14ac:dyDescent="0.2">
      <c r="A632" s="234"/>
      <c r="B632" s="25"/>
      <c r="C632" s="27"/>
      <c r="D632" s="65"/>
      <c r="E632" s="12"/>
      <c r="F632" s="235"/>
    </row>
    <row r="633" spans="1:6" x14ac:dyDescent="0.2">
      <c r="A633" s="234"/>
      <c r="B633" s="25" t="s">
        <v>28</v>
      </c>
      <c r="C633" s="25"/>
      <c r="D633" s="65"/>
      <c r="E633" s="23"/>
      <c r="F633" s="235"/>
    </row>
    <row r="634" spans="1:6" ht="25.5" x14ac:dyDescent="0.2">
      <c r="A634" s="234"/>
      <c r="B634" s="60" t="s">
        <v>740</v>
      </c>
      <c r="C634" s="25"/>
      <c r="D634" s="29">
        <f>0.6*(1.9+1.8*2+1.7*3+1.8+1.6+1.85)</f>
        <v>9.51</v>
      </c>
      <c r="E634" s="23"/>
      <c r="F634" s="235"/>
    </row>
    <row r="635" spans="1:6" x14ac:dyDescent="0.2">
      <c r="A635" s="234"/>
      <c r="B635" s="25"/>
      <c r="C635" s="25"/>
      <c r="D635" s="65"/>
      <c r="E635" s="23"/>
      <c r="F635" s="235"/>
    </row>
    <row r="636" spans="1:6" x14ac:dyDescent="0.2">
      <c r="A636" s="234"/>
      <c r="B636" s="25" t="s">
        <v>746</v>
      </c>
      <c r="C636" s="25"/>
      <c r="D636" s="65"/>
      <c r="E636" s="23"/>
      <c r="F636" s="235"/>
    </row>
    <row r="637" spans="1:6" ht="25.5" x14ac:dyDescent="0.2">
      <c r="A637" s="234"/>
      <c r="B637" s="60" t="s">
        <v>772</v>
      </c>
      <c r="C637" s="25"/>
      <c r="D637" s="29">
        <f>0.6*(1.9+1.8*2+1.7*3+1.8+1.6+1.85+1.6)</f>
        <v>10.469999999999999</v>
      </c>
      <c r="E637" s="23"/>
      <c r="F637" s="235"/>
    </row>
    <row r="638" spans="1:6" x14ac:dyDescent="0.2">
      <c r="A638" s="234"/>
      <c r="B638" s="25"/>
      <c r="C638" s="25"/>
      <c r="D638" s="65"/>
      <c r="E638" s="23"/>
      <c r="F638" s="235"/>
    </row>
    <row r="639" spans="1:6" x14ac:dyDescent="0.2">
      <c r="A639" s="234"/>
      <c r="B639" s="25" t="s">
        <v>750</v>
      </c>
      <c r="C639" s="25"/>
      <c r="D639" s="65"/>
      <c r="E639" s="23"/>
      <c r="F639" s="235"/>
    </row>
    <row r="640" spans="1:6" ht="25.5" x14ac:dyDescent="0.2">
      <c r="A640" s="234"/>
      <c r="B640" s="60" t="s">
        <v>773</v>
      </c>
      <c r="C640" s="25"/>
      <c r="D640" s="29">
        <f>2*0.6*(1.9+1.8*2+1.7*3+1.8+1.6+1.85+1.6)</f>
        <v>20.939999999999998</v>
      </c>
      <c r="E640" s="23"/>
      <c r="F640" s="235"/>
    </row>
    <row r="641" spans="1:7" x14ac:dyDescent="0.2">
      <c r="A641" s="234"/>
      <c r="B641" s="75"/>
      <c r="C641" s="25"/>
      <c r="D641" s="29"/>
      <c r="E641" s="23"/>
      <c r="F641" s="235"/>
    </row>
    <row r="642" spans="1:7" x14ac:dyDescent="0.2">
      <c r="A642" s="234"/>
      <c r="B642" s="75" t="s">
        <v>776</v>
      </c>
      <c r="C642" s="25"/>
      <c r="D642" s="29"/>
      <c r="E642" s="23"/>
      <c r="F642" s="235"/>
    </row>
    <row r="643" spans="1:7" ht="25.5" x14ac:dyDescent="0.2">
      <c r="A643" s="234"/>
      <c r="B643" s="60" t="s">
        <v>772</v>
      </c>
      <c r="C643" s="25"/>
      <c r="D643" s="29">
        <f>0.6*(1.9+1.8*2+1.7*3+1.8+1.6+1.85+1.6)</f>
        <v>10.469999999999999</v>
      </c>
      <c r="E643" s="23"/>
      <c r="F643" s="235"/>
    </row>
    <row r="644" spans="1:7" x14ac:dyDescent="0.2">
      <c r="A644" s="234"/>
      <c r="B644" s="75"/>
      <c r="C644" s="25"/>
      <c r="D644" s="29"/>
      <c r="E644" s="23"/>
      <c r="F644" s="235"/>
    </row>
    <row r="645" spans="1:7" x14ac:dyDescent="0.2">
      <c r="A645" s="234"/>
      <c r="B645" s="25" t="s">
        <v>739</v>
      </c>
      <c r="C645" s="27" t="s">
        <v>39</v>
      </c>
      <c r="D645" s="65">
        <f>SUM(D634:D644)</f>
        <v>51.389999999999993</v>
      </c>
      <c r="E645" s="12"/>
      <c r="F645" s="235">
        <f>D645*E645</f>
        <v>0</v>
      </c>
    </row>
    <row r="646" spans="1:7" x14ac:dyDescent="0.2">
      <c r="A646" s="234"/>
      <c r="B646" s="25"/>
      <c r="C646" s="27"/>
      <c r="D646" s="65"/>
      <c r="E646" s="12"/>
      <c r="F646" s="235"/>
    </row>
    <row r="647" spans="1:7" ht="63.75" x14ac:dyDescent="0.2">
      <c r="A647" s="234" t="s">
        <v>196</v>
      </c>
      <c r="B647" s="25" t="s">
        <v>390</v>
      </c>
      <c r="C647" s="27"/>
      <c r="D647" s="29"/>
      <c r="E647" s="23"/>
      <c r="F647" s="249"/>
    </row>
    <row r="648" spans="1:7" ht="51" x14ac:dyDescent="0.2">
      <c r="A648" s="234"/>
      <c r="B648" s="20" t="s">
        <v>391</v>
      </c>
      <c r="C648" s="27"/>
      <c r="D648" s="29"/>
      <c r="E648" s="23"/>
      <c r="F648" s="249"/>
    </row>
    <row r="649" spans="1:7" ht="51" x14ac:dyDescent="0.2">
      <c r="A649" s="234"/>
      <c r="B649" s="20" t="s">
        <v>392</v>
      </c>
      <c r="C649" s="27"/>
      <c r="D649" s="29"/>
      <c r="E649" s="23"/>
      <c r="F649" s="249"/>
    </row>
    <row r="650" spans="1:7" ht="38.25" x14ac:dyDescent="0.2">
      <c r="A650" s="339"/>
      <c r="B650" s="352" t="s">
        <v>393</v>
      </c>
      <c r="C650" s="362"/>
      <c r="D650" s="342"/>
      <c r="E650" s="366"/>
      <c r="F650" s="344"/>
    </row>
    <row r="651" spans="1:7" x14ac:dyDescent="0.2">
      <c r="A651" s="234"/>
      <c r="B651" s="1"/>
      <c r="C651" s="25"/>
      <c r="D651" s="29"/>
      <c r="E651" s="23"/>
      <c r="F651" s="249"/>
    </row>
    <row r="652" spans="1:7" ht="89.25" x14ac:dyDescent="0.2">
      <c r="A652" s="234"/>
      <c r="B652" s="26" t="s">
        <v>1006</v>
      </c>
      <c r="C652" s="62" t="s">
        <v>104</v>
      </c>
      <c r="D652" s="29">
        <f>(1.18+0.8)*(0.29*2+0.84*2+0.51*2+1.07*2+0.29*2+0.98*2+0.42*2+0.53*2+0.89*2+0.35*2+0.86*2*2+0.29*2*2)+(1.6+0.8)*(1.35*2+0.53*2+1.13*2+0.65*2+0.53*2+0.55*2+0.8*2+0.9*2+0.53*2+0.57*2+1.35*2+0.53*2+1.07*2+0.62*2+0.53*2+1.31*2)</f>
        <v>95.7012</v>
      </c>
      <c r="E652" s="12"/>
      <c r="F652" s="239">
        <f>D652*E652</f>
        <v>0</v>
      </c>
    </row>
    <row r="653" spans="1:7" x14ac:dyDescent="0.2">
      <c r="A653" s="234"/>
      <c r="B653" s="25"/>
      <c r="C653" s="27"/>
      <c r="D653" s="65"/>
      <c r="E653" s="12"/>
      <c r="F653" s="235"/>
    </row>
    <row r="654" spans="1:7" ht="51" x14ac:dyDescent="0.2">
      <c r="A654" s="234" t="s">
        <v>197</v>
      </c>
      <c r="B654" s="61" t="s">
        <v>394</v>
      </c>
      <c r="C654" s="62"/>
      <c r="D654" s="65"/>
      <c r="E654" s="23"/>
      <c r="F654" s="235"/>
    </row>
    <row r="655" spans="1:7" ht="38.25" x14ac:dyDescent="0.2">
      <c r="A655" s="234"/>
      <c r="B655" s="61" t="s">
        <v>395</v>
      </c>
      <c r="C655" s="27"/>
      <c r="D655" s="65"/>
      <c r="E655" s="23"/>
      <c r="F655" s="235"/>
    </row>
    <row r="656" spans="1:7" ht="25.5" x14ac:dyDescent="0.2">
      <c r="A656" s="234"/>
      <c r="B656" s="26" t="s">
        <v>396</v>
      </c>
      <c r="C656" s="25"/>
      <c r="D656" s="65"/>
      <c r="E656" s="23"/>
      <c r="F656" s="235"/>
      <c r="G656" s="26"/>
    </row>
    <row r="657" spans="1:8" x14ac:dyDescent="0.2">
      <c r="A657" s="234"/>
      <c r="B657" s="26"/>
      <c r="C657" s="25"/>
      <c r="D657" s="65"/>
      <c r="E657" s="23"/>
      <c r="F657" s="235"/>
    </row>
    <row r="658" spans="1:8" ht="76.5" x14ac:dyDescent="0.2">
      <c r="A658" s="234"/>
      <c r="B658" s="26" t="s">
        <v>1007</v>
      </c>
      <c r="C658" s="62" t="s">
        <v>33</v>
      </c>
      <c r="D658" s="321">
        <v>15</v>
      </c>
      <c r="E658" s="12"/>
      <c r="F658" s="239">
        <f>D658*E658</f>
        <v>0</v>
      </c>
    </row>
    <row r="659" spans="1:8" x14ac:dyDescent="0.2">
      <c r="A659" s="234"/>
      <c r="B659" s="60"/>
      <c r="C659" s="17"/>
      <c r="D659" s="312"/>
      <c r="E659" s="20"/>
      <c r="F659" s="242"/>
      <c r="G659" s="10"/>
    </row>
    <row r="660" spans="1:8" s="74" customFormat="1" ht="51" x14ac:dyDescent="0.2">
      <c r="A660" s="234" t="s">
        <v>229</v>
      </c>
      <c r="B660" s="20" t="s">
        <v>397</v>
      </c>
      <c r="C660" s="39"/>
      <c r="D660" s="103"/>
      <c r="E660" s="25"/>
      <c r="F660" s="235"/>
    </row>
    <row r="661" spans="1:8" s="74" customFormat="1" ht="38.25" x14ac:dyDescent="0.2">
      <c r="A661" s="234" t="s">
        <v>774</v>
      </c>
      <c r="B661" s="20" t="s">
        <v>927</v>
      </c>
      <c r="C661" s="39"/>
      <c r="D661" s="103"/>
      <c r="E661" s="25"/>
      <c r="F661" s="235"/>
      <c r="G661" s="74">
        <f>1700*12</f>
        <v>20400</v>
      </c>
    </row>
    <row r="662" spans="1:8" s="74" customFormat="1" ht="25.5" x14ac:dyDescent="0.2">
      <c r="A662" s="234"/>
      <c r="B662" s="20" t="s">
        <v>926</v>
      </c>
      <c r="C662" s="39"/>
      <c r="D662" s="103"/>
      <c r="E662" s="25"/>
      <c r="F662" s="235"/>
      <c r="H662" s="10"/>
    </row>
    <row r="663" spans="1:8" s="74" customFormat="1" ht="26.25" customHeight="1" x14ac:dyDescent="0.2">
      <c r="A663" s="234"/>
      <c r="B663" s="20" t="s">
        <v>925</v>
      </c>
      <c r="C663" s="39"/>
      <c r="D663" s="103"/>
      <c r="E663" s="20"/>
      <c r="F663" s="242">
        <f>E663*D663</f>
        <v>0</v>
      </c>
      <c r="G663" s="10"/>
      <c r="H663" s="10"/>
    </row>
    <row r="664" spans="1:8" s="74" customFormat="1" ht="14.25" customHeight="1" x14ac:dyDescent="0.2">
      <c r="A664" s="234"/>
      <c r="B664" s="20"/>
      <c r="C664" s="39"/>
      <c r="D664" s="103"/>
      <c r="E664" s="20"/>
      <c r="F664" s="242"/>
      <c r="G664" s="10"/>
      <c r="H664" s="10"/>
    </row>
    <row r="665" spans="1:8" x14ac:dyDescent="0.2">
      <c r="A665" s="247" t="s">
        <v>230</v>
      </c>
      <c r="B665" s="79" t="s">
        <v>398</v>
      </c>
      <c r="C665" s="62"/>
      <c r="D665" s="29"/>
      <c r="E665" s="23"/>
      <c r="F665" s="255"/>
      <c r="G665" s="98"/>
      <c r="H665" s="10"/>
    </row>
    <row r="666" spans="1:8" x14ac:dyDescent="0.2">
      <c r="A666" s="247"/>
      <c r="B666" s="61" t="s">
        <v>399</v>
      </c>
      <c r="C666" s="39"/>
      <c r="D666" s="103"/>
      <c r="E666" s="20"/>
      <c r="F666" s="242"/>
      <c r="G666" s="98"/>
    </row>
    <row r="667" spans="1:8" x14ac:dyDescent="0.2">
      <c r="A667" s="247"/>
      <c r="B667" s="61"/>
      <c r="C667" s="39"/>
      <c r="D667" s="103"/>
      <c r="E667" s="20"/>
      <c r="F667" s="242"/>
      <c r="G667" s="98"/>
    </row>
    <row r="668" spans="1:8" x14ac:dyDescent="0.2">
      <c r="A668" s="247"/>
      <c r="B668" s="26" t="s">
        <v>746</v>
      </c>
      <c r="C668" s="62"/>
      <c r="D668" s="29">
        <v>59.65</v>
      </c>
      <c r="E668" s="20"/>
      <c r="F668" s="242"/>
      <c r="G668" s="98"/>
    </row>
    <row r="669" spans="1:8" x14ac:dyDescent="0.2">
      <c r="A669" s="247"/>
      <c r="B669" s="61"/>
      <c r="C669" s="39"/>
      <c r="D669" s="103"/>
      <c r="E669" s="20"/>
      <c r="F669" s="242"/>
      <c r="G669" s="98"/>
    </row>
    <row r="670" spans="1:8" x14ac:dyDescent="0.2">
      <c r="A670" s="247"/>
      <c r="B670" s="25" t="s">
        <v>750</v>
      </c>
      <c r="C670" s="62"/>
      <c r="D670" s="29"/>
      <c r="E670" s="23"/>
      <c r="F670" s="255"/>
      <c r="G670" s="98"/>
    </row>
    <row r="671" spans="1:8" x14ac:dyDescent="0.2">
      <c r="A671" s="247"/>
      <c r="B671" s="26" t="s">
        <v>839</v>
      </c>
      <c r="C671" s="62"/>
      <c r="D671" s="29">
        <f>59.75*2</f>
        <v>119.5</v>
      </c>
      <c r="E671" s="23"/>
      <c r="F671" s="255"/>
      <c r="G671" s="98"/>
    </row>
    <row r="672" spans="1:8" x14ac:dyDescent="0.2">
      <c r="A672" s="247"/>
      <c r="B672" s="25"/>
      <c r="C672" s="62"/>
      <c r="D672" s="29"/>
      <c r="E672" s="23"/>
      <c r="F672" s="255"/>
      <c r="G672" s="98"/>
    </row>
    <row r="673" spans="1:7" x14ac:dyDescent="0.2">
      <c r="A673" s="256"/>
      <c r="B673" s="109" t="s">
        <v>776</v>
      </c>
      <c r="C673" s="39"/>
      <c r="D673" s="322">
        <v>59.71</v>
      </c>
      <c r="E673" s="20"/>
      <c r="F673" s="242"/>
      <c r="G673" s="10"/>
    </row>
    <row r="674" spans="1:7" x14ac:dyDescent="0.2">
      <c r="A674" s="256"/>
      <c r="B674" s="63"/>
      <c r="C674" s="39"/>
      <c r="D674" s="125"/>
      <c r="E674" s="12"/>
      <c r="F674" s="255"/>
      <c r="G674" s="11"/>
    </row>
    <row r="675" spans="1:7" x14ac:dyDescent="0.2">
      <c r="A675" s="375"/>
      <c r="B675" s="422" t="s">
        <v>231</v>
      </c>
      <c r="C675" s="368" t="s">
        <v>39</v>
      </c>
      <c r="D675" s="423">
        <f>SUM(D668:D674)</f>
        <v>238.86</v>
      </c>
      <c r="E675" s="352"/>
      <c r="F675" s="353">
        <f>E675*D675</f>
        <v>0</v>
      </c>
      <c r="G675" s="10"/>
    </row>
    <row r="676" spans="1:7" x14ac:dyDescent="0.2">
      <c r="A676" s="234"/>
      <c r="B676" s="25"/>
      <c r="C676" s="27"/>
      <c r="D676" s="29"/>
      <c r="E676" s="30"/>
      <c r="F676" s="249"/>
      <c r="G676" s="89"/>
    </row>
    <row r="677" spans="1:7" x14ac:dyDescent="0.2">
      <c r="A677" s="247" t="s">
        <v>232</v>
      </c>
      <c r="B677" s="79" t="s">
        <v>400</v>
      </c>
      <c r="C677" s="17"/>
      <c r="D677" s="29"/>
      <c r="E677" s="20"/>
      <c r="F677" s="249"/>
      <c r="G677" s="10"/>
    </row>
    <row r="678" spans="1:7" x14ac:dyDescent="0.2">
      <c r="A678" s="257"/>
      <c r="B678" s="61" t="s">
        <v>857</v>
      </c>
      <c r="C678" s="17"/>
      <c r="D678" s="29"/>
      <c r="E678" s="20"/>
      <c r="F678" s="249">
        <f>D678*E678</f>
        <v>0</v>
      </c>
      <c r="G678" s="10"/>
    </row>
    <row r="679" spans="1:7" x14ac:dyDescent="0.2">
      <c r="A679" s="234"/>
      <c r="B679" s="26"/>
      <c r="C679" s="62"/>
      <c r="D679" s="29"/>
      <c r="E679" s="23"/>
      <c r="F679" s="255"/>
      <c r="G679" s="98"/>
    </row>
    <row r="680" spans="1:7" x14ac:dyDescent="0.2">
      <c r="A680" s="234"/>
      <c r="B680" s="25" t="s">
        <v>28</v>
      </c>
      <c r="C680" s="17" t="s">
        <v>39</v>
      </c>
      <c r="D680" s="29">
        <v>3.75</v>
      </c>
      <c r="E680" s="20"/>
      <c r="F680" s="249">
        <f>D680*E680</f>
        <v>0</v>
      </c>
      <c r="G680" s="98"/>
    </row>
    <row r="681" spans="1:7" x14ac:dyDescent="0.2">
      <c r="A681" s="234"/>
      <c r="B681" s="66"/>
      <c r="C681" s="62"/>
      <c r="D681" s="29"/>
      <c r="E681" s="23"/>
      <c r="F681" s="255"/>
      <c r="G681" s="98"/>
    </row>
    <row r="682" spans="1:7" ht="25.5" x14ac:dyDescent="0.2">
      <c r="A682" s="247" t="s">
        <v>233</v>
      </c>
      <c r="B682" s="25" t="s">
        <v>401</v>
      </c>
      <c r="C682" s="62"/>
      <c r="D682" s="29"/>
      <c r="E682" s="23"/>
      <c r="F682" s="255"/>
      <c r="G682" s="98"/>
    </row>
    <row r="683" spans="1:7" x14ac:dyDescent="0.2">
      <c r="A683" s="247"/>
      <c r="B683" s="61" t="s">
        <v>783</v>
      </c>
      <c r="C683" s="62"/>
      <c r="D683" s="29"/>
      <c r="E683" s="23"/>
      <c r="F683" s="255"/>
      <c r="G683" s="98"/>
    </row>
    <row r="684" spans="1:7" x14ac:dyDescent="0.2">
      <c r="A684" s="234"/>
      <c r="B684" s="66"/>
      <c r="C684" s="62"/>
      <c r="D684" s="29"/>
      <c r="E684" s="23"/>
      <c r="F684" s="255"/>
      <c r="G684" s="98"/>
    </row>
    <row r="685" spans="1:7" x14ac:dyDescent="0.2">
      <c r="A685" s="234"/>
      <c r="B685" s="25" t="s">
        <v>28</v>
      </c>
      <c r="C685" s="39"/>
      <c r="D685" s="103"/>
      <c r="E685" s="20"/>
      <c r="F685" s="242"/>
      <c r="G685" s="98"/>
    </row>
    <row r="686" spans="1:7" ht="25.5" x14ac:dyDescent="0.2">
      <c r="A686" s="234"/>
      <c r="B686" s="26" t="s">
        <v>784</v>
      </c>
      <c r="C686" s="39"/>
      <c r="D686" s="29">
        <f>3.78+3.78+4+2.09+4.72+4+2.28+2.36+4.98+3.78</f>
        <v>35.769999999999996</v>
      </c>
      <c r="E686" s="20"/>
      <c r="F686" s="242"/>
      <c r="G686" s="98"/>
    </row>
    <row r="687" spans="1:7" x14ac:dyDescent="0.2">
      <c r="A687" s="234"/>
      <c r="B687" s="25"/>
      <c r="C687" s="39"/>
      <c r="D687" s="103"/>
      <c r="E687" s="20"/>
      <c r="F687" s="242"/>
      <c r="G687" s="98"/>
    </row>
    <row r="688" spans="1:7" x14ac:dyDescent="0.2">
      <c r="A688" s="234"/>
      <c r="B688" s="25" t="s">
        <v>746</v>
      </c>
      <c r="C688" s="62"/>
      <c r="D688" s="29"/>
      <c r="E688" s="23"/>
      <c r="F688" s="255"/>
      <c r="G688" s="98"/>
    </row>
    <row r="689" spans="1:7" ht="25.5" x14ac:dyDescent="0.2">
      <c r="A689" s="234"/>
      <c r="B689" s="26" t="s">
        <v>785</v>
      </c>
      <c r="C689" s="39"/>
      <c r="D689" s="29">
        <f>2.36+4.98+3.78+3.78+3.78+3.79+4+4+4.72+4+2.28</f>
        <v>41.47</v>
      </c>
      <c r="E689" s="23"/>
      <c r="F689" s="255"/>
      <c r="G689" s="98"/>
    </row>
    <row r="690" spans="1:7" x14ac:dyDescent="0.2">
      <c r="A690" s="234"/>
      <c r="B690" s="25"/>
      <c r="C690" s="62"/>
      <c r="D690" s="29"/>
      <c r="E690" s="23"/>
      <c r="F690" s="255"/>
      <c r="G690" s="98"/>
    </row>
    <row r="691" spans="1:7" x14ac:dyDescent="0.2">
      <c r="A691" s="234"/>
      <c r="B691" s="25" t="s">
        <v>750</v>
      </c>
      <c r="C691" s="62"/>
      <c r="D691" s="29"/>
      <c r="E691" s="23"/>
      <c r="F691" s="255"/>
      <c r="G691" s="98"/>
    </row>
    <row r="692" spans="1:7" ht="25.5" x14ac:dyDescent="0.2">
      <c r="A692" s="234"/>
      <c r="B692" s="26" t="s">
        <v>786</v>
      </c>
      <c r="C692" s="39"/>
      <c r="D692" s="29">
        <f>2*(2.36+4.98+3.78+3.78+3.78+3.79+4+4+4.72+4+2.28)</f>
        <v>82.94</v>
      </c>
      <c r="E692" s="20"/>
      <c r="F692" s="242"/>
      <c r="G692" s="98"/>
    </row>
    <row r="693" spans="1:7" x14ac:dyDescent="0.2">
      <c r="A693" s="234"/>
      <c r="B693" s="63"/>
      <c r="C693" s="39"/>
      <c r="D693" s="125"/>
      <c r="E693" s="12"/>
      <c r="F693" s="255"/>
      <c r="G693" s="98"/>
    </row>
    <row r="694" spans="1:7" x14ac:dyDescent="0.2">
      <c r="A694" s="234"/>
      <c r="B694" s="63" t="s">
        <v>776</v>
      </c>
      <c r="C694" s="39"/>
      <c r="D694" s="125"/>
      <c r="E694" s="12"/>
      <c r="F694" s="255"/>
      <c r="G694" s="98"/>
    </row>
    <row r="695" spans="1:7" ht="25.5" x14ac:dyDescent="0.2">
      <c r="A695" s="234"/>
      <c r="B695" s="60" t="s">
        <v>840</v>
      </c>
      <c r="C695" s="39"/>
      <c r="D695" s="29">
        <f>2.25+4.45+3.78+3.78+3.78+3.78+4+4+4.57+1.8+2.06</f>
        <v>38.25</v>
      </c>
      <c r="E695" s="12"/>
      <c r="F695" s="255"/>
      <c r="G695" s="98"/>
    </row>
    <row r="696" spans="1:7" x14ac:dyDescent="0.2">
      <c r="A696" s="234"/>
      <c r="B696" s="63"/>
      <c r="C696" s="39"/>
      <c r="D696" s="125"/>
      <c r="E696" s="12"/>
      <c r="F696" s="255"/>
      <c r="G696" s="98"/>
    </row>
    <row r="697" spans="1:7" x14ac:dyDescent="0.2">
      <c r="A697" s="234"/>
      <c r="B697" s="63" t="s">
        <v>231</v>
      </c>
      <c r="C697" s="39" t="s">
        <v>39</v>
      </c>
      <c r="D697" s="103">
        <f>SUM(D686:D696)</f>
        <v>198.43</v>
      </c>
      <c r="E697" s="20"/>
      <c r="F697" s="242">
        <f>E697*D697</f>
        <v>0</v>
      </c>
      <c r="G697" s="98"/>
    </row>
    <row r="698" spans="1:7" x14ac:dyDescent="0.2">
      <c r="A698" s="234"/>
      <c r="B698" s="66"/>
      <c r="C698" s="62"/>
      <c r="D698" s="29"/>
      <c r="E698" s="23"/>
      <c r="F698" s="255"/>
      <c r="G698" s="98"/>
    </row>
    <row r="699" spans="1:7" ht="38.25" x14ac:dyDescent="0.2">
      <c r="A699" s="234" t="s">
        <v>234</v>
      </c>
      <c r="B699" s="258" t="s">
        <v>1098</v>
      </c>
      <c r="C699" s="62"/>
      <c r="D699" s="29"/>
      <c r="E699" s="23"/>
      <c r="F699" s="255"/>
      <c r="G699" s="98"/>
    </row>
    <row r="700" spans="1:7" ht="25.5" x14ac:dyDescent="0.2">
      <c r="A700" s="234"/>
      <c r="B700" s="241" t="s">
        <v>996</v>
      </c>
      <c r="C700" s="62"/>
      <c r="D700" s="29"/>
      <c r="E700" s="23"/>
      <c r="F700" s="255"/>
      <c r="G700" s="98"/>
    </row>
    <row r="701" spans="1:7" s="74" customFormat="1" ht="38.25" x14ac:dyDescent="0.2">
      <c r="A701" s="234"/>
      <c r="B701" s="241" t="s">
        <v>929</v>
      </c>
      <c r="C701" s="62"/>
      <c r="D701" s="29"/>
      <c r="E701" s="23"/>
      <c r="F701" s="255"/>
      <c r="G701" s="98"/>
    </row>
    <row r="702" spans="1:7" ht="25.5" x14ac:dyDescent="0.2">
      <c r="A702" s="234"/>
      <c r="B702" s="74" t="s">
        <v>363</v>
      </c>
      <c r="C702" s="62"/>
      <c r="D702" s="29"/>
      <c r="E702" s="23"/>
      <c r="F702" s="255"/>
      <c r="G702" s="98"/>
    </row>
    <row r="703" spans="1:7" ht="38.25" x14ac:dyDescent="0.2">
      <c r="A703" s="234"/>
      <c r="B703" s="241" t="s">
        <v>241</v>
      </c>
      <c r="C703" s="62"/>
      <c r="D703" s="29"/>
      <c r="E703" s="23"/>
      <c r="F703" s="255"/>
      <c r="G703" s="98"/>
    </row>
    <row r="704" spans="1:7" ht="25.5" x14ac:dyDescent="0.2">
      <c r="A704" s="339"/>
      <c r="B704" s="424" t="s">
        <v>402</v>
      </c>
      <c r="C704" s="341"/>
      <c r="D704" s="342"/>
      <c r="E704" s="366"/>
      <c r="F704" s="373"/>
      <c r="G704" s="98"/>
    </row>
    <row r="705" spans="1:12" ht="51" x14ac:dyDescent="0.2">
      <c r="A705" s="234"/>
      <c r="B705" s="241" t="s">
        <v>997</v>
      </c>
      <c r="C705" s="62"/>
      <c r="D705" s="29"/>
      <c r="E705" s="23"/>
      <c r="F705" s="255"/>
      <c r="G705" s="98"/>
    </row>
    <row r="706" spans="1:12" ht="38.25" x14ac:dyDescent="0.2">
      <c r="A706" s="234"/>
      <c r="B706" s="1" t="s">
        <v>928</v>
      </c>
      <c r="C706" s="62"/>
      <c r="D706" s="29"/>
      <c r="E706" s="23"/>
      <c r="F706" s="255"/>
      <c r="G706" s="98"/>
    </row>
    <row r="707" spans="1:12" s="74" customFormat="1" ht="38.25" x14ac:dyDescent="0.2">
      <c r="A707" s="234"/>
      <c r="B707" s="25" t="s">
        <v>998</v>
      </c>
      <c r="C707" s="62"/>
      <c r="D707" s="29"/>
      <c r="E707" s="23"/>
      <c r="F707" s="255"/>
      <c r="G707" s="98"/>
      <c r="I707" s="8"/>
      <c r="J707" s="8"/>
      <c r="K707" s="8"/>
      <c r="L707" s="8"/>
    </row>
    <row r="708" spans="1:12" s="74" customFormat="1" x14ac:dyDescent="0.2">
      <c r="A708" s="234"/>
      <c r="B708" s="25"/>
      <c r="C708" s="62"/>
      <c r="D708" s="29"/>
      <c r="E708" s="23"/>
      <c r="F708" s="255"/>
      <c r="G708" s="98"/>
      <c r="I708" s="8"/>
      <c r="J708" s="8"/>
      <c r="K708" s="8"/>
      <c r="L708" s="8"/>
    </row>
    <row r="709" spans="1:12" x14ac:dyDescent="0.2">
      <c r="A709" s="247" t="s">
        <v>235</v>
      </c>
      <c r="B709" s="16" t="s">
        <v>398</v>
      </c>
      <c r="C709" s="62"/>
      <c r="D709" s="29"/>
      <c r="E709" s="23"/>
      <c r="F709" s="255"/>
      <c r="G709" s="98"/>
      <c r="H709" s="74"/>
    </row>
    <row r="710" spans="1:12" ht="25.5" x14ac:dyDescent="0.2">
      <c r="A710" s="234"/>
      <c r="B710" s="25" t="s">
        <v>1269</v>
      </c>
      <c r="C710" s="17"/>
      <c r="D710" s="312"/>
      <c r="E710" s="18"/>
      <c r="F710" s="255"/>
      <c r="G710" s="105"/>
      <c r="H710" s="74"/>
    </row>
    <row r="711" spans="1:12" x14ac:dyDescent="0.2">
      <c r="A711" s="234"/>
      <c r="B711" s="25"/>
      <c r="C711" s="17"/>
      <c r="D711" s="312"/>
      <c r="E711" s="18"/>
      <c r="F711" s="255"/>
      <c r="G711" s="105"/>
      <c r="H711" s="74"/>
    </row>
    <row r="712" spans="1:12" x14ac:dyDescent="0.2">
      <c r="A712" s="234"/>
      <c r="B712" s="25" t="s">
        <v>28</v>
      </c>
      <c r="C712" s="25"/>
      <c r="D712" s="65"/>
      <c r="E712" s="25"/>
      <c r="F712" s="249"/>
      <c r="H712" s="74"/>
    </row>
    <row r="713" spans="1:12" ht="38.25" x14ac:dyDescent="0.2">
      <c r="A713" s="234"/>
      <c r="B713" s="26" t="s">
        <v>725</v>
      </c>
      <c r="C713" s="25"/>
      <c r="D713" s="29">
        <f>5.87+11.56+11.41+1.24+3.25+20.34+4.18+12.68+3.22+22.85+4.69+2.5+21.45+4.13+11.61+11.23+1.24</f>
        <v>153.45000000000002</v>
      </c>
      <c r="E713" s="25"/>
      <c r="F713" s="249"/>
      <c r="H713" s="74"/>
    </row>
    <row r="714" spans="1:12" x14ac:dyDescent="0.2">
      <c r="A714" s="234"/>
      <c r="B714" s="25"/>
      <c r="C714" s="25"/>
      <c r="D714" s="65"/>
      <c r="E714" s="25"/>
      <c r="F714" s="249"/>
      <c r="H714" s="74"/>
    </row>
    <row r="715" spans="1:12" x14ac:dyDescent="0.2">
      <c r="A715" s="234"/>
      <c r="B715" s="25" t="s">
        <v>746</v>
      </c>
      <c r="C715" s="25"/>
      <c r="D715" s="65"/>
      <c r="E715" s="25"/>
      <c r="F715" s="249"/>
      <c r="H715" s="74"/>
    </row>
    <row r="716" spans="1:12" ht="102" x14ac:dyDescent="0.2">
      <c r="A716" s="234"/>
      <c r="B716" s="26" t="s">
        <v>777</v>
      </c>
      <c r="C716" s="25"/>
      <c r="D716" s="29">
        <f>2.5+21.45+4.95+23.96+11.61+11.23+1.24+0.76+20.01+8.5+3.15+20.27+12.56+5.16+20.44+1.11+19.8+8.5+1.04+20.82+3.25+20.33+12.65+5.87+23.27+11.56+11.41+1.24+1.95+21+7.48+3.22+22.91+59.71+4.13+5.46+4.09+4.37+4.14+4.05+4.1+4.18+5.39+4.18+4.28</f>
        <v>473.28000000000003</v>
      </c>
      <c r="E716" s="25"/>
      <c r="F716" s="249"/>
      <c r="H716" s="74"/>
    </row>
    <row r="717" spans="1:12" s="74" customFormat="1" x14ac:dyDescent="0.2">
      <c r="A717" s="234"/>
      <c r="B717" s="25"/>
      <c r="C717" s="25"/>
      <c r="D717" s="29"/>
      <c r="E717" s="25"/>
      <c r="F717" s="249"/>
      <c r="I717" s="8"/>
      <c r="J717" s="8"/>
      <c r="K717" s="8"/>
      <c r="L717" s="8"/>
    </row>
    <row r="718" spans="1:12" x14ac:dyDescent="0.2">
      <c r="A718" s="234"/>
      <c r="B718" s="25" t="s">
        <v>750</v>
      </c>
      <c r="C718" s="25"/>
      <c r="D718" s="29"/>
      <c r="E718" s="25"/>
      <c r="F718" s="249"/>
      <c r="H718" s="74"/>
    </row>
    <row r="719" spans="1:12" ht="76.5" x14ac:dyDescent="0.2">
      <c r="A719" s="234"/>
      <c r="B719" s="26" t="s">
        <v>775</v>
      </c>
      <c r="C719" s="25"/>
      <c r="D719" s="29">
        <f>2*(2.5+21.45+4.95+23.96+11.61+11.23+1.24+0.76+20.01+8.5+3.15+20.27+12.56+1.74+5.16+20.45+11.12+1.11+19.8+8.5+1.04+3.25+20.34+12.66+5.87+23.28+11.56+11.41+1.24+1.95+20.78+7.62+3.73+22.42)</f>
        <v>714.44000000000017</v>
      </c>
      <c r="E719" s="25"/>
      <c r="F719" s="249"/>
      <c r="H719" s="74"/>
    </row>
    <row r="720" spans="1:12" x14ac:dyDescent="0.2">
      <c r="A720" s="234"/>
      <c r="B720" s="26"/>
      <c r="C720" s="25"/>
      <c r="D720" s="29"/>
      <c r="E720" s="25"/>
      <c r="F720" s="249"/>
    </row>
    <row r="721" spans="1:11" x14ac:dyDescent="0.2">
      <c r="A721" s="234"/>
      <c r="B721" s="26" t="s">
        <v>776</v>
      </c>
      <c r="C721" s="25"/>
      <c r="D721" s="29"/>
      <c r="E721" s="25"/>
      <c r="F721" s="249"/>
    </row>
    <row r="722" spans="1:11" ht="76.5" x14ac:dyDescent="0.2">
      <c r="A722" s="234"/>
      <c r="B722" s="60" t="s">
        <v>841</v>
      </c>
      <c r="C722" s="25"/>
      <c r="D722" s="29">
        <f>2.5+21.45+4.95+23.96+11.61+11.23+1.24+0.76+20.01+8.5+3.08+20.13+12.6+1.64+5.16+20.45+11.12+1.11+19.81+8.5+1.04+20.17+3.23+20.34+12.64+5.87+23.26+11.56+11.41+1.24+0.79+20.87+7.63+3.73+22.27</f>
        <v>375.86</v>
      </c>
      <c r="E722" s="25"/>
      <c r="F722" s="249"/>
    </row>
    <row r="723" spans="1:11" x14ac:dyDescent="0.2">
      <c r="A723" s="234"/>
      <c r="B723" s="26"/>
      <c r="C723" s="25"/>
      <c r="D723" s="29"/>
      <c r="E723" s="25"/>
      <c r="F723" s="249"/>
    </row>
    <row r="724" spans="1:11" x14ac:dyDescent="0.2">
      <c r="A724" s="339"/>
      <c r="B724" s="347" t="s">
        <v>236</v>
      </c>
      <c r="C724" s="363" t="s">
        <v>39</v>
      </c>
      <c r="D724" s="342">
        <f>SUM(D711:D722)</f>
        <v>1717.0300000000002</v>
      </c>
      <c r="E724" s="352"/>
      <c r="F724" s="344">
        <f>D724*E724</f>
        <v>0</v>
      </c>
      <c r="G724" s="10"/>
    </row>
    <row r="725" spans="1:11" x14ac:dyDescent="0.2">
      <c r="A725" s="234"/>
      <c r="B725" s="26"/>
      <c r="C725" s="62"/>
      <c r="D725" s="29"/>
      <c r="E725" s="23"/>
      <c r="F725" s="255"/>
      <c r="G725" s="98"/>
    </row>
    <row r="726" spans="1:11" x14ac:dyDescent="0.2">
      <c r="A726" s="247" t="s">
        <v>407</v>
      </c>
      <c r="B726" s="184" t="s">
        <v>1094</v>
      </c>
      <c r="C726" s="62"/>
      <c r="D726" s="29"/>
      <c r="E726" s="23"/>
      <c r="F726" s="255"/>
      <c r="G726" s="98"/>
    </row>
    <row r="727" spans="1:11" ht="25.5" x14ac:dyDescent="0.2">
      <c r="A727" s="234"/>
      <c r="B727" s="25" t="s">
        <v>1266</v>
      </c>
      <c r="C727" s="62"/>
      <c r="D727" s="29"/>
      <c r="E727" s="23"/>
      <c r="F727" s="255"/>
      <c r="G727" s="98"/>
    </row>
    <row r="728" spans="1:11" x14ac:dyDescent="0.2">
      <c r="A728" s="234"/>
      <c r="B728" s="16"/>
      <c r="C728" s="62"/>
      <c r="D728" s="29"/>
      <c r="E728" s="23"/>
      <c r="F728" s="255"/>
      <c r="G728" s="98"/>
    </row>
    <row r="729" spans="1:11" ht="38.25" x14ac:dyDescent="0.2">
      <c r="A729" s="234"/>
      <c r="B729" s="25" t="s">
        <v>28</v>
      </c>
      <c r="C729" s="25"/>
      <c r="D729" s="65"/>
      <c r="E729" s="25"/>
      <c r="F729" s="249"/>
      <c r="H729" s="25" t="s">
        <v>720</v>
      </c>
    </row>
    <row r="730" spans="1:11" ht="63.75" x14ac:dyDescent="0.2">
      <c r="A730" s="234"/>
      <c r="B730" s="26" t="s">
        <v>1267</v>
      </c>
      <c r="C730" s="17" t="s">
        <v>39</v>
      </c>
      <c r="D730" s="29">
        <f>5.16+20.44+4.14+11.12+1.11+19.8+4.05+8.5+1.04+20.17+4.1+1.95+20.95+4.18+7.49+23.28+5.39+4.95+23.96+5.46+0.76+20.01+4.09+8.5+59.42+20.08+2.76</f>
        <v>312.85999999999996</v>
      </c>
      <c r="E730" s="20"/>
      <c r="F730" s="249">
        <f>D730*E730</f>
        <v>0</v>
      </c>
    </row>
    <row r="731" spans="1:11" x14ac:dyDescent="0.2">
      <c r="A731" s="234"/>
      <c r="B731" s="25"/>
      <c r="C731" s="25"/>
      <c r="D731" s="65"/>
      <c r="E731" s="25"/>
      <c r="F731" s="249"/>
    </row>
    <row r="732" spans="1:11" ht="25.5" x14ac:dyDescent="0.2">
      <c r="A732" s="247" t="s">
        <v>732</v>
      </c>
      <c r="B732" s="110" t="s">
        <v>1095</v>
      </c>
      <c r="C732" s="62"/>
      <c r="D732" s="29"/>
      <c r="E732" s="23"/>
      <c r="F732" s="255"/>
      <c r="G732" s="98"/>
    </row>
    <row r="733" spans="1:11" x14ac:dyDescent="0.2">
      <c r="A733" s="234"/>
      <c r="B733" s="25" t="s">
        <v>721</v>
      </c>
      <c r="C733" s="25"/>
      <c r="D733" s="65"/>
      <c r="E733" s="25"/>
      <c r="F733" s="249"/>
      <c r="K733" s="8">
        <f>1.49*6.58</f>
        <v>9.8041999999999998</v>
      </c>
    </row>
    <row r="734" spans="1:11" x14ac:dyDescent="0.2">
      <c r="A734" s="234"/>
      <c r="B734" s="26"/>
      <c r="C734" s="25"/>
      <c r="D734" s="217"/>
      <c r="E734" s="25"/>
      <c r="F734" s="249"/>
      <c r="K734" s="8">
        <f>D2450/2</f>
        <v>189.03000000000006</v>
      </c>
    </row>
    <row r="735" spans="1:11" x14ac:dyDescent="0.2">
      <c r="A735" s="234"/>
      <c r="B735" s="63" t="s">
        <v>28</v>
      </c>
      <c r="C735" s="39"/>
      <c r="D735" s="103"/>
      <c r="E735" s="25"/>
      <c r="F735" s="249"/>
    </row>
    <row r="736" spans="1:11" x14ac:dyDescent="0.2">
      <c r="A736" s="234"/>
      <c r="B736" s="100" t="s">
        <v>722</v>
      </c>
      <c r="C736" s="39"/>
      <c r="D736" s="217">
        <f>4+4.31+4.02+4.34+4.44+4.31</f>
        <v>25.419999999999998</v>
      </c>
      <c r="E736" s="20"/>
      <c r="F736" s="249">
        <f>D736*E736</f>
        <v>0</v>
      </c>
    </row>
    <row r="737" spans="1:7" x14ac:dyDescent="0.2">
      <c r="A737" s="234"/>
      <c r="B737" s="96"/>
      <c r="C737" s="25"/>
      <c r="D737" s="65"/>
      <c r="E737" s="25"/>
      <c r="F737" s="249"/>
    </row>
    <row r="738" spans="1:7" x14ac:dyDescent="0.2">
      <c r="A738" s="247" t="s">
        <v>733</v>
      </c>
      <c r="B738" s="184" t="s">
        <v>1096</v>
      </c>
      <c r="C738" s="39"/>
      <c r="D738" s="103"/>
      <c r="E738" s="30"/>
      <c r="F738" s="249"/>
      <c r="G738" s="89"/>
    </row>
    <row r="739" spans="1:7" x14ac:dyDescent="0.2">
      <c r="A739" s="234"/>
      <c r="B739" s="25" t="s">
        <v>1268</v>
      </c>
      <c r="C739" s="39"/>
      <c r="D739" s="103"/>
      <c r="E739" s="30"/>
      <c r="F739" s="249"/>
      <c r="G739" s="89"/>
    </row>
    <row r="740" spans="1:7" x14ac:dyDescent="0.2">
      <c r="A740" s="234"/>
      <c r="B740" s="25"/>
      <c r="C740" s="39"/>
      <c r="D740" s="103"/>
      <c r="E740" s="30"/>
      <c r="F740" s="249"/>
      <c r="G740" s="89"/>
    </row>
    <row r="741" spans="1:7" x14ac:dyDescent="0.2">
      <c r="A741" s="234"/>
      <c r="B741" s="25" t="s">
        <v>746</v>
      </c>
      <c r="C741" s="39"/>
      <c r="D741" s="103"/>
      <c r="E741" s="25"/>
      <c r="F741" s="249"/>
    </row>
    <row r="742" spans="1:7" ht="25.5" x14ac:dyDescent="0.2">
      <c r="A742" s="234"/>
      <c r="B742" s="26" t="s">
        <v>778</v>
      </c>
      <c r="C742" s="39"/>
      <c r="D742" s="29">
        <f>4.37+4.44+1.57+4.31+3.92+4+4.31+4.02+4.36+4.33+1.59+4.34+4.28</f>
        <v>49.84</v>
      </c>
      <c r="E742" s="25"/>
      <c r="F742" s="249"/>
    </row>
    <row r="743" spans="1:7" x14ac:dyDescent="0.2">
      <c r="A743" s="234"/>
      <c r="B743" s="25"/>
      <c r="C743" s="39"/>
      <c r="D743" s="103"/>
      <c r="E743" s="25"/>
      <c r="F743" s="249"/>
    </row>
    <row r="744" spans="1:7" x14ac:dyDescent="0.2">
      <c r="A744" s="234"/>
      <c r="B744" s="25" t="s">
        <v>750</v>
      </c>
      <c r="C744" s="39"/>
      <c r="D744" s="103"/>
      <c r="E744" s="25"/>
      <c r="F744" s="249"/>
    </row>
    <row r="745" spans="1:7" ht="38.25" x14ac:dyDescent="0.2">
      <c r="A745" s="234"/>
      <c r="B745" s="26" t="s">
        <v>779</v>
      </c>
      <c r="C745" s="39"/>
      <c r="D745" s="29">
        <f>2*(4.37+4.44+1.57+4.31+3.92+3.92+4.31+4.02+4.36+4.33+1.59+4.34+4.67)</f>
        <v>100.30000000000001</v>
      </c>
      <c r="E745" s="25"/>
      <c r="F745" s="249"/>
    </row>
    <row r="746" spans="1:7" x14ac:dyDescent="0.2">
      <c r="A746" s="234"/>
      <c r="B746" s="26"/>
      <c r="C746" s="39"/>
      <c r="D746" s="217"/>
      <c r="E746" s="25"/>
      <c r="F746" s="249"/>
    </row>
    <row r="747" spans="1:7" x14ac:dyDescent="0.2">
      <c r="A747" s="234"/>
      <c r="B747" s="26" t="s">
        <v>776</v>
      </c>
      <c r="C747" s="39"/>
      <c r="D747" s="217"/>
      <c r="E747" s="25"/>
      <c r="F747" s="249"/>
    </row>
    <row r="748" spans="1:7" ht="25.5" x14ac:dyDescent="0.2">
      <c r="A748" s="234"/>
      <c r="B748" s="26" t="s">
        <v>842</v>
      </c>
      <c r="C748" s="39"/>
      <c r="D748" s="29">
        <f>4.37+4.44+1.57+4.31+3.92+3.92+4.31+4.02+4.36+4.33+1.59+4.34+4.67</f>
        <v>50.150000000000006</v>
      </c>
      <c r="E748" s="25"/>
      <c r="F748" s="249"/>
    </row>
    <row r="749" spans="1:7" x14ac:dyDescent="0.2">
      <c r="A749" s="234"/>
      <c r="B749" s="63"/>
      <c r="C749" s="39"/>
      <c r="D749" s="103"/>
      <c r="E749" s="25"/>
      <c r="F749" s="249"/>
    </row>
    <row r="750" spans="1:7" x14ac:dyDescent="0.2">
      <c r="A750" s="339"/>
      <c r="B750" s="422" t="s">
        <v>734</v>
      </c>
      <c r="C750" s="368" t="s">
        <v>39</v>
      </c>
      <c r="D750" s="423">
        <f>SUM(D741:D749)</f>
        <v>200.29000000000002</v>
      </c>
      <c r="E750" s="352"/>
      <c r="F750" s="344">
        <f>D750*E750</f>
        <v>0</v>
      </c>
      <c r="G750" s="182">
        <f>+E750*6.7*120</f>
        <v>0</v>
      </c>
    </row>
    <row r="751" spans="1:7" x14ac:dyDescent="0.2">
      <c r="A751" s="234"/>
      <c r="B751" s="63"/>
      <c r="C751" s="39"/>
      <c r="D751" s="103"/>
      <c r="E751" s="20"/>
      <c r="F751" s="249"/>
      <c r="G751" s="10"/>
    </row>
    <row r="752" spans="1:7" ht="25.5" x14ac:dyDescent="0.2">
      <c r="A752" s="247" t="s">
        <v>735</v>
      </c>
      <c r="B752" s="110" t="s">
        <v>1097</v>
      </c>
      <c r="C752" s="39"/>
      <c r="D752" s="103"/>
      <c r="E752" s="20"/>
      <c r="F752" s="249"/>
      <c r="G752" s="10"/>
    </row>
    <row r="753" spans="1:7" x14ac:dyDescent="0.2">
      <c r="A753" s="234"/>
      <c r="B753" s="25" t="s">
        <v>723</v>
      </c>
      <c r="C753" s="39"/>
      <c r="D753" s="103"/>
      <c r="E753" s="20"/>
      <c r="F753" s="249"/>
      <c r="G753" s="10"/>
    </row>
    <row r="754" spans="1:7" x14ac:dyDescent="0.2">
      <c r="A754" s="234"/>
      <c r="B754" s="63"/>
      <c r="C754" s="39"/>
      <c r="D754" s="103"/>
      <c r="E754" s="20"/>
      <c r="F754" s="249"/>
      <c r="G754" s="10"/>
    </row>
    <row r="755" spans="1:7" x14ac:dyDescent="0.2">
      <c r="A755" s="234"/>
      <c r="B755" s="63" t="s">
        <v>28</v>
      </c>
      <c r="C755" s="39"/>
      <c r="D755" s="103"/>
      <c r="E755" s="20"/>
      <c r="F755" s="249"/>
      <c r="G755" s="10"/>
    </row>
    <row r="756" spans="1:7" x14ac:dyDescent="0.2">
      <c r="A756" s="234"/>
      <c r="B756" s="100" t="s">
        <v>724</v>
      </c>
      <c r="C756" s="39" t="s">
        <v>39</v>
      </c>
      <c r="D756" s="217">
        <f>4.33+1.59+4.67+4.37+1.57</f>
        <v>16.53</v>
      </c>
      <c r="E756" s="20"/>
      <c r="F756" s="249">
        <f>D756*E756</f>
        <v>0</v>
      </c>
      <c r="G756" s="10"/>
    </row>
    <row r="757" spans="1:7" x14ac:dyDescent="0.2">
      <c r="A757" s="234"/>
      <c r="B757" s="100"/>
      <c r="C757" s="39"/>
      <c r="D757" s="217"/>
      <c r="E757" s="20"/>
      <c r="F757" s="249"/>
      <c r="G757" s="10"/>
    </row>
    <row r="758" spans="1:7" ht="51" x14ac:dyDescent="0.2">
      <c r="A758" s="234" t="s">
        <v>237</v>
      </c>
      <c r="B758" s="20" t="s">
        <v>1617</v>
      </c>
      <c r="C758" s="39"/>
      <c r="D758" s="217"/>
      <c r="E758" s="20"/>
      <c r="F758" s="249"/>
      <c r="G758" s="10"/>
    </row>
    <row r="759" spans="1:7" ht="38.25" x14ac:dyDescent="0.2">
      <c r="A759" s="234"/>
      <c r="B759" s="20" t="s">
        <v>927</v>
      </c>
      <c r="C759" s="39"/>
      <c r="D759" s="217"/>
      <c r="E759" s="20"/>
      <c r="F759" s="249"/>
      <c r="G759" s="10"/>
    </row>
    <row r="760" spans="1:7" ht="25.5" x14ac:dyDescent="0.2">
      <c r="A760" s="234"/>
      <c r="B760" s="20" t="s">
        <v>1618</v>
      </c>
      <c r="C760" s="39"/>
      <c r="D760" s="217"/>
      <c r="E760" s="20"/>
      <c r="F760" s="249"/>
      <c r="G760" s="10"/>
    </row>
    <row r="761" spans="1:7" ht="25.5" x14ac:dyDescent="0.2">
      <c r="A761" s="234"/>
      <c r="B761" s="20" t="s">
        <v>925</v>
      </c>
      <c r="C761" s="39"/>
      <c r="D761" s="217"/>
      <c r="E761" s="20"/>
      <c r="F761" s="249"/>
      <c r="G761" s="10"/>
    </row>
    <row r="762" spans="1:7" x14ac:dyDescent="0.2">
      <c r="A762" s="234"/>
      <c r="B762" s="20"/>
      <c r="C762" s="39"/>
      <c r="D762" s="217"/>
      <c r="E762" s="20"/>
      <c r="F762" s="249"/>
      <c r="G762" s="10"/>
    </row>
    <row r="763" spans="1:7" x14ac:dyDescent="0.2">
      <c r="A763" s="234"/>
      <c r="B763" s="100" t="s">
        <v>1620</v>
      </c>
      <c r="C763" s="39"/>
      <c r="D763" s="217"/>
      <c r="E763" s="20"/>
      <c r="F763" s="249"/>
      <c r="G763" s="10"/>
    </row>
    <row r="764" spans="1:7" x14ac:dyDescent="0.2">
      <c r="A764" s="234"/>
      <c r="B764" s="110" t="s">
        <v>1619</v>
      </c>
      <c r="C764" s="39"/>
      <c r="D764" s="217"/>
      <c r="E764" s="20"/>
      <c r="F764" s="249"/>
      <c r="G764" s="10"/>
    </row>
    <row r="765" spans="1:7" x14ac:dyDescent="0.2">
      <c r="A765" s="234"/>
      <c r="B765" s="100" t="s">
        <v>1621</v>
      </c>
      <c r="C765" s="39" t="s">
        <v>39</v>
      </c>
      <c r="D765" s="217">
        <f>4.33+1.59+4.67+4.37+1.57</f>
        <v>16.53</v>
      </c>
      <c r="E765" s="20"/>
      <c r="F765" s="249">
        <f>D765*E765</f>
        <v>0</v>
      </c>
      <c r="G765" s="10"/>
    </row>
    <row r="766" spans="1:7" s="74" customFormat="1" x14ac:dyDescent="0.2">
      <c r="A766" s="234"/>
      <c r="B766" s="63"/>
      <c r="C766" s="39"/>
      <c r="D766" s="103"/>
      <c r="E766" s="30"/>
      <c r="F766" s="249"/>
      <c r="G766" s="89"/>
    </row>
    <row r="767" spans="1:7" ht="102" x14ac:dyDescent="0.2">
      <c r="A767" s="234" t="s">
        <v>294</v>
      </c>
      <c r="B767" s="25" t="s">
        <v>403</v>
      </c>
      <c r="C767" s="25"/>
      <c r="D767" s="65"/>
      <c r="E767" s="25"/>
      <c r="F767" s="235"/>
    </row>
    <row r="768" spans="1:7" ht="51" x14ac:dyDescent="0.2">
      <c r="A768" s="234"/>
      <c r="B768" s="25" t="s">
        <v>172</v>
      </c>
      <c r="C768" s="25"/>
      <c r="D768" s="65"/>
      <c r="E768" s="25"/>
      <c r="F768" s="235"/>
    </row>
    <row r="769" spans="1:11" ht="51" x14ac:dyDescent="0.2">
      <c r="A769" s="339"/>
      <c r="B769" s="369" t="s">
        <v>404</v>
      </c>
      <c r="C769" s="347"/>
      <c r="D769" s="348"/>
      <c r="E769" s="347"/>
      <c r="F769" s="349"/>
    </row>
    <row r="770" spans="1:11" x14ac:dyDescent="0.2">
      <c r="A770" s="234"/>
      <c r="B770" s="21"/>
      <c r="C770" s="25"/>
      <c r="D770" s="65"/>
      <c r="E770" s="25"/>
      <c r="F770" s="235"/>
    </row>
    <row r="771" spans="1:11" x14ac:dyDescent="0.2">
      <c r="A771" s="247" t="s">
        <v>1612</v>
      </c>
      <c r="B771" s="25" t="s">
        <v>55</v>
      </c>
      <c r="C771" s="25"/>
      <c r="D771" s="65"/>
      <c r="E771" s="25"/>
      <c r="F771" s="235"/>
    </row>
    <row r="772" spans="1:11" x14ac:dyDescent="0.2">
      <c r="A772" s="247"/>
      <c r="B772" s="25"/>
      <c r="C772" s="25"/>
      <c r="D772" s="65"/>
      <c r="E772" s="25"/>
      <c r="F772" s="235"/>
    </row>
    <row r="773" spans="1:11" x14ac:dyDescent="0.2">
      <c r="A773" s="247"/>
      <c r="B773" s="25" t="s">
        <v>28</v>
      </c>
      <c r="C773" s="25"/>
      <c r="D773" s="65"/>
      <c r="E773" s="25"/>
      <c r="F773" s="235"/>
      <c r="H773" s="74"/>
      <c r="I773" s="74"/>
      <c r="J773" s="74"/>
      <c r="K773" s="74"/>
    </row>
    <row r="774" spans="1:11" ht="114.75" x14ac:dyDescent="0.2">
      <c r="A774" s="247"/>
      <c r="B774" s="26" t="s">
        <v>870</v>
      </c>
      <c r="C774" s="25"/>
      <c r="D774" s="29">
        <f>2.77*(11.06+19.88+8.52+13.57+4.44+19.22+8.39+12.21+4.24+20.73+8.59+5.78+22.08+8.54+11.26+10.05+23.99+10+14.28+13.53+4.45+9.5+19.63+8.54+14.75+7.62+19.92+9.42+6.39+20.61+8.49+9.44+24.52+10.25+14.28+13.43+4.45+3.92+19.64+8.47+12.21)-100.27-(2.1*1.6*2+2.7*2.4*5+1.6*2.4-3*8)</f>
        <v>1266.5732999999998</v>
      </c>
      <c r="E774" s="25"/>
      <c r="F774" s="235"/>
      <c r="H774" s="60">
        <f>2.77*(1.1+2.68+1.1+4.46+4.49+3.61+2.2+2.25+1.8+1.1+2.8+1.1+2.68+1.48+1.87+1.48)</f>
        <v>100.27399999999999</v>
      </c>
      <c r="I774" s="78"/>
      <c r="J774" s="66"/>
      <c r="K774" s="74"/>
    </row>
    <row r="775" spans="1:11" x14ac:dyDescent="0.2">
      <c r="A775" s="247"/>
      <c r="B775" s="25"/>
      <c r="C775" s="25"/>
      <c r="D775" s="65"/>
      <c r="E775" s="25"/>
      <c r="F775" s="235"/>
      <c r="H775" s="26"/>
      <c r="I775" s="78"/>
      <c r="J775" s="75"/>
      <c r="K775" s="74"/>
    </row>
    <row r="776" spans="1:11" x14ac:dyDescent="0.2">
      <c r="A776" s="247"/>
      <c r="B776" s="25" t="s">
        <v>746</v>
      </c>
      <c r="C776" s="25"/>
      <c r="D776" s="65"/>
      <c r="E776" s="25"/>
      <c r="F776" s="235"/>
      <c r="H776" s="26"/>
      <c r="I776" s="78"/>
      <c r="J776" s="66"/>
      <c r="K776" s="74"/>
    </row>
    <row r="777" spans="1:11" ht="127.5" x14ac:dyDescent="0.2">
      <c r="A777" s="247"/>
      <c r="B777" s="26" t="s">
        <v>1274</v>
      </c>
      <c r="C777" s="25"/>
      <c r="D777" s="29">
        <f>2.77*(6.39+20.61+8.49+9.44+24.52+10.25+14.28+13.43+4.45+3.92+19.64+8.47+12.21+7.1+18.01+8.8+15.09+5.48+11.06+19.88+8.52+13.57+4.44+19.22+8.39+12.21+4.24+21.13+8.59+9.5+19.63+8.54+14.95+10.05+23.99+10+14.28+13.53+4.45+5.18+5.78+22.09+8.54+11.26+7.62+19.92+9.12)-121.58-(2.1*1.6*2+2.7*2.4*6+1.6*2.4-3*9)</f>
        <v>1407.9001999999994</v>
      </c>
      <c r="E777" s="25"/>
      <c r="F777" s="235"/>
      <c r="H777" s="60">
        <f>2.77*(2.68+1.1*2+4.46+1.48+1.87+3.61+1.48+1.8+2.2+2.25+1.48*2+4+2.98+1.7+4.45+2.67+1.1)</f>
        <v>121.57530000000003</v>
      </c>
      <c r="I777" s="78"/>
      <c r="J777" s="66"/>
      <c r="K777" s="74"/>
    </row>
    <row r="778" spans="1:11" x14ac:dyDescent="0.2">
      <c r="A778" s="247"/>
      <c r="B778" s="25"/>
      <c r="C778" s="25"/>
      <c r="D778" s="65"/>
      <c r="E778" s="25"/>
      <c r="F778" s="235"/>
      <c r="H778" s="26"/>
      <c r="I778" s="78"/>
      <c r="J778" s="75"/>
      <c r="K778" s="74"/>
    </row>
    <row r="779" spans="1:11" x14ac:dyDescent="0.2">
      <c r="A779" s="247"/>
      <c r="B779" s="25" t="s">
        <v>750</v>
      </c>
      <c r="C779" s="25"/>
      <c r="D779" s="65"/>
      <c r="E779" s="25"/>
      <c r="F779" s="235"/>
      <c r="H779" s="26"/>
      <c r="I779" s="78"/>
      <c r="J779" s="66"/>
      <c r="K779" s="74"/>
    </row>
    <row r="780" spans="1:11" ht="127.5" x14ac:dyDescent="0.2">
      <c r="A780" s="247"/>
      <c r="B780" s="26" t="s">
        <v>1273</v>
      </c>
      <c r="C780" s="25"/>
      <c r="D780" s="29">
        <f>2*2.77*(6.39+20.61+8.49+9.44+24.52+10.25+14.28+13.43+4.45+3.92+19.64+8.47+12.21+7.1+18.01+8.8+15.09+5.48+11.06+19.88+8.52+13.57+4.44+19.22+8.39+12.21+4.24+21.13+8.59+9.5+19.63+8.54+14.95+10.05+23.99+10+14.28+13.53+4.45+5.18+5.78+22.09+8.54+11.26+7.62+19.92+9.12)-2*121.58-2*(2.1*1.6*2+2.7*2.4*6+1.6*2.4-3*9)</f>
        <v>2815.8003999999987</v>
      </c>
      <c r="E780" s="25"/>
      <c r="F780" s="235"/>
      <c r="H780" s="60">
        <f>2*2.77*(2.68+1.1*2+4.46+1.48+1.87+3.61+1.48+1.8+2.2+2.25+1.48*2+4+2.98+1.7+4.45+2.67+1.1)</f>
        <v>243.15060000000005</v>
      </c>
      <c r="I780" s="78"/>
      <c r="J780" s="66"/>
      <c r="K780" s="74"/>
    </row>
    <row r="781" spans="1:11" x14ac:dyDescent="0.2">
      <c r="A781" s="247"/>
      <c r="B781" s="25"/>
      <c r="C781" s="25"/>
      <c r="D781" s="65"/>
      <c r="E781" s="25"/>
      <c r="F781" s="235"/>
      <c r="H781" s="26"/>
      <c r="I781" s="222"/>
      <c r="J781" s="66"/>
      <c r="K781" s="74"/>
    </row>
    <row r="782" spans="1:11" x14ac:dyDescent="0.2">
      <c r="A782" s="247"/>
      <c r="B782" s="25" t="s">
        <v>776</v>
      </c>
      <c r="C782" s="25"/>
      <c r="D782" s="65"/>
      <c r="E782" s="25"/>
      <c r="F782" s="235"/>
      <c r="H782" s="26"/>
      <c r="I782" s="78"/>
      <c r="J782" s="66"/>
      <c r="K782" s="74"/>
    </row>
    <row r="783" spans="1:11" ht="127.5" x14ac:dyDescent="0.2">
      <c r="A783" s="247"/>
      <c r="B783" s="26" t="s">
        <v>1275</v>
      </c>
      <c r="C783" s="25"/>
      <c r="D783" s="29">
        <f>2.61*(6.39+20.61+8.49+9.44+24.52+10.25+14.28+13.43+4.45+3.92+19.64+8.47+12.21+7.1+18.01+8.8+15.09+5.48+11.06+19.88+8.52+13.57+4.44+19.22+8.39+12.21+4.24+21.13+8.59+9.5+19.63+8.54+14.95+10.05+23.99+10+14.28+13.53+4.45+5.18+5.78+22.09+8.54+11.26+7.62+19.92+9.12)-122.89-2*(2.1*1.6*2+2.7*2.4*6+1.6*2.4-3*9)</f>
        <v>1294.5085999999992</v>
      </c>
      <c r="E783" s="25"/>
      <c r="F783" s="235"/>
      <c r="H783" s="60">
        <f>2.77*(2.68+1.1*2+4.46+1.48+1.87+3.61+1.48+1.8+2.2+2.25+1.48*2+4+2.98+1.7+4.45+2.67+1.1)</f>
        <v>121.57530000000003</v>
      </c>
      <c r="I783" s="78"/>
      <c r="J783" s="66"/>
      <c r="K783" s="74"/>
    </row>
    <row r="784" spans="1:11" x14ac:dyDescent="0.2">
      <c r="A784" s="234"/>
      <c r="B784" s="26"/>
      <c r="C784" s="25"/>
      <c r="D784" s="29"/>
      <c r="E784" s="25"/>
      <c r="F784" s="235"/>
      <c r="H784" s="66"/>
      <c r="I784" s="78"/>
      <c r="J784" s="75"/>
      <c r="K784" s="74"/>
    </row>
    <row r="785" spans="1:11" x14ac:dyDescent="0.2">
      <c r="A785" s="339"/>
      <c r="B785" s="347" t="s">
        <v>1614</v>
      </c>
      <c r="C785" s="363" t="s">
        <v>39</v>
      </c>
      <c r="D785" s="342">
        <f>SUM(D774:D784)</f>
        <v>6784.7824999999975</v>
      </c>
      <c r="E785" s="343"/>
      <c r="F785" s="344">
        <f>E785*D785</f>
        <v>0</v>
      </c>
      <c r="G785" s="11"/>
      <c r="H785" s="74"/>
      <c r="I785" s="74"/>
      <c r="J785" s="74"/>
      <c r="K785" s="74"/>
    </row>
    <row r="786" spans="1:11" x14ac:dyDescent="0.2">
      <c r="A786" s="259"/>
      <c r="B786" s="24"/>
      <c r="C786" s="17"/>
      <c r="D786" s="52"/>
      <c r="E786" s="25"/>
      <c r="F786" s="235"/>
      <c r="H786" s="74"/>
      <c r="I786" s="74"/>
      <c r="J786" s="74"/>
      <c r="K786" s="74"/>
    </row>
    <row r="787" spans="1:11" ht="25.5" x14ac:dyDescent="0.2">
      <c r="A787" s="247" t="s">
        <v>1613</v>
      </c>
      <c r="B787" s="61" t="s">
        <v>1276</v>
      </c>
      <c r="C787" s="25"/>
      <c r="D787" s="65"/>
      <c r="E787" s="23"/>
      <c r="F787" s="235"/>
      <c r="H787" s="74"/>
      <c r="I787" s="74"/>
      <c r="J787" s="74"/>
      <c r="K787" s="74"/>
    </row>
    <row r="788" spans="1:11" x14ac:dyDescent="0.2">
      <c r="A788" s="247"/>
      <c r="B788" s="26"/>
      <c r="C788" s="25"/>
      <c r="D788" s="65"/>
      <c r="E788" s="23"/>
      <c r="F788" s="235"/>
      <c r="H788" s="74"/>
      <c r="I788" s="74"/>
      <c r="J788" s="74"/>
      <c r="K788" s="74"/>
    </row>
    <row r="789" spans="1:11" x14ac:dyDescent="0.2">
      <c r="A789" s="247"/>
      <c r="B789" s="26" t="s">
        <v>175</v>
      </c>
      <c r="C789" s="25"/>
      <c r="D789" s="65"/>
      <c r="E789" s="23"/>
      <c r="F789" s="235"/>
      <c r="H789" s="74"/>
      <c r="I789" s="74"/>
      <c r="J789" s="74"/>
      <c r="K789" s="74"/>
    </row>
    <row r="790" spans="1:11" x14ac:dyDescent="0.2">
      <c r="A790" s="247"/>
      <c r="B790" s="26" t="s">
        <v>1280</v>
      </c>
      <c r="C790" s="25"/>
      <c r="D790" s="29">
        <f>2.62+3.64+9.53+15.91</f>
        <v>31.7</v>
      </c>
      <c r="E790" s="23"/>
      <c r="F790" s="235"/>
      <c r="H790" s="74"/>
      <c r="I790" s="74"/>
      <c r="J790" s="74"/>
      <c r="K790" s="74"/>
    </row>
    <row r="791" spans="1:11" x14ac:dyDescent="0.2">
      <c r="A791" s="247"/>
      <c r="B791" s="26"/>
      <c r="C791" s="25"/>
      <c r="D791" s="65"/>
      <c r="E791" s="23"/>
      <c r="F791" s="235"/>
      <c r="H791" s="74"/>
      <c r="I791" s="74"/>
      <c r="J791" s="74"/>
      <c r="K791" s="74"/>
    </row>
    <row r="792" spans="1:11" x14ac:dyDescent="0.2">
      <c r="A792" s="247"/>
      <c r="B792" s="25" t="s">
        <v>28</v>
      </c>
      <c r="C792" s="25"/>
      <c r="D792" s="65"/>
      <c r="E792" s="23"/>
      <c r="F792" s="235"/>
      <c r="H792" s="74"/>
      <c r="I792" s="74"/>
      <c r="J792" s="74"/>
      <c r="K792" s="74"/>
    </row>
    <row r="793" spans="1:11" ht="38.25" x14ac:dyDescent="0.2">
      <c r="A793" s="247"/>
      <c r="B793" s="26" t="s">
        <v>728</v>
      </c>
      <c r="C793" s="25"/>
      <c r="D793" s="29">
        <f>44.85+37.78+29.32+38.9+64.67+44.82+35.43+32.45+64.45+37.68+59.42+20.08</f>
        <v>509.84999999999997</v>
      </c>
      <c r="E793" s="23"/>
      <c r="F793" s="235"/>
      <c r="H793" s="74"/>
      <c r="I793" s="74"/>
      <c r="J793" s="74"/>
      <c r="K793" s="74"/>
    </row>
    <row r="794" spans="1:11" x14ac:dyDescent="0.2">
      <c r="A794" s="247"/>
      <c r="B794" s="25"/>
      <c r="C794" s="25"/>
      <c r="D794" s="65"/>
      <c r="E794" s="23"/>
      <c r="F794" s="235"/>
      <c r="H794" s="74"/>
      <c r="I794" s="74"/>
      <c r="J794" s="74"/>
      <c r="K794" s="74"/>
    </row>
    <row r="795" spans="1:11" x14ac:dyDescent="0.2">
      <c r="A795" s="247"/>
      <c r="B795" s="25" t="s">
        <v>746</v>
      </c>
      <c r="C795" s="25"/>
      <c r="D795" s="65"/>
      <c r="E795" s="23"/>
      <c r="F795" s="235"/>
      <c r="H795" s="74"/>
      <c r="I795" s="74"/>
      <c r="J795" s="74"/>
      <c r="K795" s="74"/>
    </row>
    <row r="796" spans="1:11" ht="38.25" x14ac:dyDescent="0.2">
      <c r="A796" s="247"/>
      <c r="B796" s="26" t="s">
        <v>1277</v>
      </c>
      <c r="C796" s="25"/>
      <c r="D796" s="29">
        <f>32.45+64.45+37.68+46.01+44.85+37.78+29.98+44.78+64.66+38.94+35.15+3.23*1.32*2+2.84*1.37</f>
        <v>489.14799999999997</v>
      </c>
      <c r="E796" s="23"/>
      <c r="F796" s="235"/>
      <c r="H796" s="74"/>
      <c r="I796" s="74"/>
      <c r="J796" s="74"/>
      <c r="K796" s="74"/>
    </row>
    <row r="797" spans="1:11" x14ac:dyDescent="0.2">
      <c r="A797" s="247"/>
      <c r="B797" s="25"/>
      <c r="C797" s="25"/>
      <c r="D797" s="65"/>
      <c r="E797" s="23"/>
      <c r="F797" s="235"/>
      <c r="H797" s="74"/>
      <c r="I797" s="74"/>
      <c r="J797" s="74"/>
      <c r="K797" s="74"/>
    </row>
    <row r="798" spans="1:11" x14ac:dyDescent="0.2">
      <c r="A798" s="247"/>
      <c r="B798" s="25" t="s">
        <v>750</v>
      </c>
      <c r="C798" s="25"/>
      <c r="D798" s="65"/>
      <c r="E798" s="23"/>
      <c r="F798" s="235"/>
      <c r="H798" s="74"/>
      <c r="I798" s="74"/>
      <c r="J798" s="74"/>
      <c r="K798" s="74"/>
    </row>
    <row r="799" spans="1:11" ht="38.25" x14ac:dyDescent="0.2">
      <c r="A799" s="247"/>
      <c r="B799" s="26" t="s">
        <v>1278</v>
      </c>
      <c r="C799" s="25"/>
      <c r="D799" s="29">
        <f>2*(32.45+64.45+37.68+46.01+44.85+37.78+29.98+44.78+64.66+38.94+35.15+3.23*1.32*2+2.84*1.37)</f>
        <v>978.29599999999994</v>
      </c>
      <c r="E799" s="23"/>
      <c r="F799" s="235"/>
      <c r="H799" s="74"/>
      <c r="I799" s="74"/>
      <c r="J799" s="74"/>
      <c r="K799" s="74"/>
    </row>
    <row r="800" spans="1:11" x14ac:dyDescent="0.2">
      <c r="A800" s="247"/>
      <c r="B800" s="26"/>
      <c r="C800" s="25"/>
      <c r="D800" s="29"/>
      <c r="E800" s="23"/>
      <c r="F800" s="235"/>
      <c r="H800" s="74"/>
      <c r="I800" s="74"/>
      <c r="J800" s="74"/>
      <c r="K800" s="74"/>
    </row>
    <row r="801" spans="1:11" x14ac:dyDescent="0.2">
      <c r="A801" s="247"/>
      <c r="B801" s="26" t="s">
        <v>776</v>
      </c>
      <c r="C801" s="25"/>
      <c r="D801" s="29"/>
      <c r="E801" s="23"/>
      <c r="F801" s="235"/>
      <c r="H801" s="74"/>
      <c r="I801" s="74"/>
      <c r="J801" s="74"/>
      <c r="K801" s="74"/>
    </row>
    <row r="802" spans="1:11" x14ac:dyDescent="0.2">
      <c r="A802" s="247"/>
      <c r="B802" s="26" t="s">
        <v>1279</v>
      </c>
      <c r="C802" s="25"/>
      <c r="D802" s="29">
        <f>439.52+81.91</f>
        <v>521.42999999999995</v>
      </c>
      <c r="E802" s="23"/>
      <c r="F802" s="235"/>
      <c r="H802" s="74"/>
      <c r="I802" s="74"/>
      <c r="J802" s="74"/>
      <c r="K802" s="74"/>
    </row>
    <row r="803" spans="1:11" x14ac:dyDescent="0.2">
      <c r="A803" s="234"/>
      <c r="B803" s="26"/>
      <c r="C803" s="25"/>
      <c r="D803" s="29"/>
      <c r="E803" s="23"/>
      <c r="F803" s="235"/>
      <c r="H803" s="74"/>
      <c r="I803" s="74"/>
      <c r="J803" s="74"/>
      <c r="K803" s="74"/>
    </row>
    <row r="804" spans="1:11" x14ac:dyDescent="0.2">
      <c r="A804" s="234"/>
      <c r="B804" s="25" t="s">
        <v>736</v>
      </c>
      <c r="C804" s="17" t="s">
        <v>39</v>
      </c>
      <c r="D804" s="29">
        <f>SUM(D789:D803)</f>
        <v>2530.4239999999995</v>
      </c>
      <c r="E804" s="12"/>
      <c r="F804" s="249">
        <f>E804*D804</f>
        <v>0</v>
      </c>
    </row>
    <row r="805" spans="1:11" x14ac:dyDescent="0.2">
      <c r="A805" s="259"/>
      <c r="B805" s="24"/>
      <c r="C805" s="17"/>
      <c r="D805" s="52"/>
      <c r="E805" s="25"/>
      <c r="F805" s="235"/>
    </row>
    <row r="806" spans="1:11" ht="114.75" x14ac:dyDescent="0.2">
      <c r="A806" s="234" t="s">
        <v>405</v>
      </c>
      <c r="B806" s="25" t="s">
        <v>743</v>
      </c>
      <c r="C806" s="25"/>
      <c r="D806" s="65"/>
      <c r="E806" s="23"/>
      <c r="F806" s="235"/>
    </row>
    <row r="807" spans="1:11" ht="51" x14ac:dyDescent="0.2">
      <c r="A807" s="234"/>
      <c r="B807" s="25" t="s">
        <v>172</v>
      </c>
      <c r="C807" s="25"/>
      <c r="D807" s="65"/>
      <c r="E807" s="23"/>
      <c r="F807" s="235"/>
    </row>
    <row r="808" spans="1:11" ht="51" x14ac:dyDescent="0.2">
      <c r="A808" s="234"/>
      <c r="B808" s="21" t="s">
        <v>404</v>
      </c>
      <c r="C808" s="25"/>
      <c r="D808" s="65"/>
      <c r="E808" s="23"/>
      <c r="F808" s="235"/>
      <c r="G808" s="60"/>
    </row>
    <row r="809" spans="1:11" x14ac:dyDescent="0.2">
      <c r="A809" s="259"/>
      <c r="B809" s="24"/>
      <c r="C809" s="17"/>
      <c r="D809" s="52"/>
      <c r="E809" s="23"/>
      <c r="F809" s="235"/>
    </row>
    <row r="810" spans="1:11" x14ac:dyDescent="0.2">
      <c r="A810" s="259"/>
      <c r="B810" s="25" t="s">
        <v>28</v>
      </c>
      <c r="C810" s="25"/>
      <c r="D810" s="65"/>
      <c r="E810" s="23"/>
      <c r="F810" s="235"/>
    </row>
    <row r="811" spans="1:11" ht="25.5" x14ac:dyDescent="0.2">
      <c r="A811" s="259"/>
      <c r="B811" s="26" t="s">
        <v>1272</v>
      </c>
      <c r="C811" s="25"/>
      <c r="D811" s="29">
        <f>2.77*(8.38+8.7+8.38+8.55+8.61+5.18+8.55+8.79+8.6+8.75+5.13+8.55)</f>
        <v>266.39089999999999</v>
      </c>
      <c r="E811" s="23"/>
      <c r="F811" s="235"/>
      <c r="G811" s="26"/>
    </row>
    <row r="812" spans="1:11" x14ac:dyDescent="0.2">
      <c r="A812" s="259"/>
      <c r="B812" s="25"/>
      <c r="C812" s="25"/>
      <c r="D812" s="65"/>
      <c r="E812" s="23"/>
      <c r="F812" s="235"/>
    </row>
    <row r="813" spans="1:11" x14ac:dyDescent="0.2">
      <c r="A813" s="259"/>
      <c r="B813" s="25" t="s">
        <v>746</v>
      </c>
      <c r="C813" s="25"/>
      <c r="D813" s="65"/>
      <c r="E813" s="23"/>
      <c r="F813" s="235"/>
    </row>
    <row r="814" spans="1:11" ht="38.25" x14ac:dyDescent="0.2">
      <c r="A814" s="370"/>
      <c r="B814" s="354" t="s">
        <v>780</v>
      </c>
      <c r="C814" s="347"/>
      <c r="D814" s="342">
        <f>2.77*(8.6+8.75+5.13+8.55+8.12+8.4+8.55+8.38+8.55+8.61+5.18+8.55+8.37)</f>
        <v>287.35980000000001</v>
      </c>
      <c r="E814" s="366"/>
      <c r="F814" s="349"/>
    </row>
    <row r="815" spans="1:11" x14ac:dyDescent="0.2">
      <c r="A815" s="259"/>
      <c r="B815" s="25"/>
      <c r="C815" s="25"/>
      <c r="D815" s="65"/>
      <c r="E815" s="23"/>
      <c r="F815" s="235"/>
    </row>
    <row r="816" spans="1:11" x14ac:dyDescent="0.2">
      <c r="A816" s="259"/>
      <c r="B816" s="25" t="s">
        <v>750</v>
      </c>
      <c r="C816" s="25"/>
      <c r="D816" s="65"/>
      <c r="E816" s="23"/>
      <c r="F816" s="235"/>
    </row>
    <row r="817" spans="1:6" ht="38.25" x14ac:dyDescent="0.2">
      <c r="A817" s="259"/>
      <c r="B817" s="26" t="s">
        <v>781</v>
      </c>
      <c r="C817" s="25"/>
      <c r="D817" s="29">
        <f>2*2.77*(8.6+8.75+5.13+8.55+8.12+8.4+8.55+8.38+8.55+8.61+5.18+8.55+8.37)</f>
        <v>574.71960000000001</v>
      </c>
      <c r="E817" s="23"/>
      <c r="F817" s="235"/>
    </row>
    <row r="818" spans="1:6" x14ac:dyDescent="0.2">
      <c r="A818" s="259"/>
      <c r="B818" s="26"/>
      <c r="C818" s="25"/>
      <c r="D818" s="29"/>
      <c r="E818" s="23"/>
      <c r="F818" s="235"/>
    </row>
    <row r="819" spans="1:6" x14ac:dyDescent="0.2">
      <c r="A819" s="259"/>
      <c r="B819" s="24" t="s">
        <v>776</v>
      </c>
      <c r="C819" s="17"/>
      <c r="D819" s="52"/>
      <c r="E819" s="23"/>
      <c r="F819" s="235"/>
    </row>
    <row r="820" spans="1:6" ht="38.25" x14ac:dyDescent="0.2">
      <c r="A820" s="259"/>
      <c r="B820" s="26" t="s">
        <v>780</v>
      </c>
      <c r="C820" s="25"/>
      <c r="D820" s="29">
        <f>2.77*(8.6+8.75+5.13+8.55+8.12+8.4+8.55+8.38+8.55+8.61+5.18+8.55+8.37)</f>
        <v>287.35980000000001</v>
      </c>
      <c r="E820" s="23"/>
      <c r="F820" s="235"/>
    </row>
    <row r="821" spans="1:6" x14ac:dyDescent="0.2">
      <c r="A821" s="259"/>
      <c r="B821" s="24"/>
      <c r="C821" s="17"/>
      <c r="D821" s="52"/>
      <c r="E821" s="23"/>
      <c r="F821" s="235"/>
    </row>
    <row r="822" spans="1:6" x14ac:dyDescent="0.2">
      <c r="A822" s="259"/>
      <c r="B822" s="25" t="s">
        <v>406</v>
      </c>
      <c r="C822" s="17" t="s">
        <v>39</v>
      </c>
      <c r="D822" s="29">
        <f>SUM(D811:D821)</f>
        <v>1415.8300999999999</v>
      </c>
      <c r="E822" s="12"/>
      <c r="F822" s="249">
        <f>E822*D822</f>
        <v>0</v>
      </c>
    </row>
    <row r="823" spans="1:6" x14ac:dyDescent="0.2">
      <c r="A823" s="259"/>
      <c r="B823" s="24"/>
      <c r="C823" s="17"/>
      <c r="D823" s="52"/>
      <c r="E823" s="25"/>
      <c r="F823" s="235"/>
    </row>
    <row r="824" spans="1:6" ht="51" x14ac:dyDescent="0.2">
      <c r="A824" s="259" t="s">
        <v>737</v>
      </c>
      <c r="B824" s="10" t="s">
        <v>741</v>
      </c>
      <c r="C824" s="17"/>
      <c r="D824" s="52"/>
      <c r="E824" s="25"/>
      <c r="F824" s="235"/>
    </row>
    <row r="825" spans="1:6" ht="76.5" x14ac:dyDescent="0.2">
      <c r="A825" s="259"/>
      <c r="B825" s="10" t="s">
        <v>726</v>
      </c>
      <c r="C825" s="17"/>
      <c r="D825" s="52"/>
      <c r="E825" s="25"/>
      <c r="F825" s="235"/>
    </row>
    <row r="826" spans="1:6" ht="51" x14ac:dyDescent="0.2">
      <c r="A826" s="259"/>
      <c r="B826" s="21" t="s">
        <v>404</v>
      </c>
      <c r="C826" s="17"/>
      <c r="D826" s="52"/>
      <c r="E826" s="25"/>
      <c r="F826" s="235"/>
    </row>
    <row r="827" spans="1:6" x14ac:dyDescent="0.2">
      <c r="A827" s="259"/>
      <c r="B827" s="24"/>
      <c r="C827" s="17"/>
      <c r="D827" s="52"/>
      <c r="E827" s="25"/>
      <c r="F827" s="235"/>
    </row>
    <row r="828" spans="1:6" x14ac:dyDescent="0.2">
      <c r="A828" s="259"/>
      <c r="B828" s="25" t="s">
        <v>28</v>
      </c>
      <c r="C828" s="17"/>
      <c r="D828" s="52"/>
      <c r="E828" s="23"/>
      <c r="F828" s="235"/>
    </row>
    <row r="829" spans="1:6" x14ac:dyDescent="0.2">
      <c r="A829" s="259"/>
      <c r="B829" s="26" t="s">
        <v>742</v>
      </c>
      <c r="C829" s="17"/>
      <c r="D829" s="29">
        <f>2.77*(0.61+0.38+0.6)</f>
        <v>4.4042999999999992</v>
      </c>
      <c r="E829" s="23"/>
      <c r="F829" s="235"/>
    </row>
    <row r="830" spans="1:6" x14ac:dyDescent="0.2">
      <c r="A830" s="259"/>
      <c r="B830" s="25"/>
      <c r="C830" s="17"/>
      <c r="D830" s="52"/>
      <c r="E830" s="23"/>
      <c r="F830" s="235"/>
    </row>
    <row r="831" spans="1:6" x14ac:dyDescent="0.2">
      <c r="A831" s="259"/>
      <c r="B831" s="25" t="s">
        <v>746</v>
      </c>
      <c r="C831" s="17"/>
      <c r="D831" s="52"/>
      <c r="E831" s="23"/>
      <c r="F831" s="235"/>
    </row>
    <row r="832" spans="1:6" x14ac:dyDescent="0.2">
      <c r="A832" s="259"/>
      <c r="B832" s="26" t="s">
        <v>742</v>
      </c>
      <c r="C832" s="17"/>
      <c r="D832" s="29">
        <f>2.77*(0.61+0.38+0.6)</f>
        <v>4.4042999999999992</v>
      </c>
      <c r="E832" s="23"/>
      <c r="F832" s="235"/>
    </row>
    <row r="833" spans="1:6" x14ac:dyDescent="0.2">
      <c r="A833" s="259"/>
      <c r="B833" s="25"/>
      <c r="C833" s="17"/>
      <c r="D833" s="52"/>
      <c r="E833" s="23"/>
      <c r="F833" s="235"/>
    </row>
    <row r="834" spans="1:6" x14ac:dyDescent="0.2">
      <c r="A834" s="259"/>
      <c r="B834" s="25" t="s">
        <v>750</v>
      </c>
      <c r="C834" s="17"/>
      <c r="D834" s="52"/>
      <c r="E834" s="23"/>
      <c r="F834" s="235"/>
    </row>
    <row r="835" spans="1:6" x14ac:dyDescent="0.2">
      <c r="A835" s="259"/>
      <c r="B835" s="26" t="s">
        <v>782</v>
      </c>
      <c r="C835" s="17"/>
      <c r="D835" s="29">
        <f>2*2.77*(0.61+0.38+0.6)</f>
        <v>8.8085999999999984</v>
      </c>
      <c r="E835" s="23"/>
      <c r="F835" s="235"/>
    </row>
    <row r="836" spans="1:6" x14ac:dyDescent="0.2">
      <c r="A836" s="259"/>
      <c r="B836" s="26"/>
      <c r="C836" s="17"/>
      <c r="D836" s="29"/>
      <c r="E836" s="23"/>
      <c r="F836" s="235"/>
    </row>
    <row r="837" spans="1:6" x14ac:dyDescent="0.2">
      <c r="A837" s="259"/>
      <c r="B837" s="26" t="s">
        <v>776</v>
      </c>
      <c r="C837" s="17"/>
      <c r="D837" s="29"/>
      <c r="E837" s="23"/>
      <c r="F837" s="235"/>
    </row>
    <row r="838" spans="1:6" x14ac:dyDescent="0.2">
      <c r="A838" s="259"/>
      <c r="B838" s="26" t="s">
        <v>742</v>
      </c>
      <c r="C838" s="17"/>
      <c r="D838" s="29">
        <f>2.77*(0.61+0.38+0.6)</f>
        <v>4.4042999999999992</v>
      </c>
      <c r="E838" s="23"/>
      <c r="F838" s="235"/>
    </row>
    <row r="839" spans="1:6" x14ac:dyDescent="0.2">
      <c r="A839" s="259"/>
      <c r="B839" s="24"/>
      <c r="C839" s="17"/>
      <c r="D839" s="52"/>
      <c r="E839" s="23"/>
      <c r="F839" s="235"/>
    </row>
    <row r="840" spans="1:6" x14ac:dyDescent="0.2">
      <c r="A840" s="259"/>
      <c r="B840" s="25" t="s">
        <v>738</v>
      </c>
      <c r="C840" s="17" t="s">
        <v>39</v>
      </c>
      <c r="D840" s="29">
        <f>SUM(D829:D839)</f>
        <v>22.021499999999996</v>
      </c>
      <c r="E840" s="12"/>
      <c r="F840" s="249">
        <f>E840*D840</f>
        <v>0</v>
      </c>
    </row>
    <row r="841" spans="1:6" x14ac:dyDescent="0.2">
      <c r="A841" s="259"/>
      <c r="B841" s="24"/>
      <c r="C841" s="17"/>
      <c r="D841" s="52"/>
      <c r="E841" s="25"/>
      <c r="F841" s="235"/>
    </row>
    <row r="842" spans="1:6" ht="76.5" x14ac:dyDescent="0.2">
      <c r="A842" s="259" t="s">
        <v>1615</v>
      </c>
      <c r="B842" s="24" t="s">
        <v>854</v>
      </c>
      <c r="C842" s="17"/>
      <c r="D842" s="52"/>
      <c r="E842" s="25"/>
      <c r="F842" s="235"/>
    </row>
    <row r="843" spans="1:6" ht="25.5" x14ac:dyDescent="0.2">
      <c r="A843" s="259"/>
      <c r="B843" s="168" t="s">
        <v>408</v>
      </c>
      <c r="C843" s="17"/>
      <c r="D843" s="52"/>
      <c r="E843" s="25"/>
      <c r="F843" s="235"/>
    </row>
    <row r="844" spans="1:6" ht="42" customHeight="1" x14ac:dyDescent="0.2">
      <c r="A844" s="370"/>
      <c r="B844" s="367" t="s">
        <v>409</v>
      </c>
      <c r="C844" s="363"/>
      <c r="D844" s="371"/>
      <c r="E844" s="347"/>
      <c r="F844" s="349"/>
    </row>
    <row r="845" spans="1:6" ht="12.75" customHeight="1" x14ac:dyDescent="0.2">
      <c r="A845" s="259"/>
      <c r="B845" s="10"/>
      <c r="C845" s="17"/>
      <c r="D845" s="52"/>
      <c r="E845" s="25"/>
      <c r="F845" s="235"/>
    </row>
    <row r="846" spans="1:6" ht="51" x14ac:dyDescent="0.2">
      <c r="A846" s="259"/>
      <c r="B846" s="25" t="s">
        <v>172</v>
      </c>
      <c r="C846" s="17"/>
      <c r="D846" s="52"/>
      <c r="E846" s="25"/>
      <c r="F846" s="235"/>
    </row>
    <row r="847" spans="1:6" ht="51" x14ac:dyDescent="0.2">
      <c r="A847" s="259"/>
      <c r="B847" s="21" t="s">
        <v>404</v>
      </c>
      <c r="C847" s="17"/>
      <c r="D847" s="52"/>
      <c r="E847" s="25"/>
      <c r="F847" s="235"/>
    </row>
    <row r="848" spans="1:6" x14ac:dyDescent="0.2">
      <c r="A848" s="259"/>
      <c r="B848" s="260"/>
      <c r="C848" s="17"/>
      <c r="D848" s="52"/>
      <c r="E848" s="25"/>
      <c r="F848" s="235"/>
    </row>
    <row r="849" spans="1:12" ht="25.5" x14ac:dyDescent="0.2">
      <c r="A849" s="259"/>
      <c r="B849" s="10" t="s">
        <v>727</v>
      </c>
      <c r="C849" s="17"/>
      <c r="D849" s="52"/>
      <c r="E849" s="25"/>
      <c r="F849" s="235"/>
      <c r="G849" s="10"/>
    </row>
    <row r="850" spans="1:12" x14ac:dyDescent="0.2">
      <c r="A850" s="259"/>
      <c r="B850" s="25" t="s">
        <v>28</v>
      </c>
      <c r="C850" s="25"/>
      <c r="D850" s="65"/>
      <c r="E850" s="23"/>
      <c r="F850" s="235"/>
      <c r="G850" s="10"/>
    </row>
    <row r="851" spans="1:12" ht="63.75" x14ac:dyDescent="0.2">
      <c r="A851" s="259"/>
      <c r="B851" s="26" t="s">
        <v>858</v>
      </c>
      <c r="C851" s="25"/>
      <c r="D851" s="29">
        <f>2.77*(1.45+6.62+4.86+4.75+16.95+1.47+26.5+1.47+1.1+2.68+1.1+4.46+4.49+3.61+2.2+2.25+1.8+1.1+2.8+1.1+2.68+1.48+1.87+1.48)-(1.55*2-3)</f>
        <v>277.64789999999994</v>
      </c>
      <c r="E851" s="23"/>
      <c r="F851" s="235"/>
    </row>
    <row r="852" spans="1:12" x14ac:dyDescent="0.2">
      <c r="A852" s="259"/>
      <c r="B852" s="25"/>
      <c r="C852" s="25"/>
      <c r="D852" s="65"/>
      <c r="E852" s="23"/>
      <c r="F852" s="235"/>
      <c r="G852" s="66"/>
    </row>
    <row r="853" spans="1:12" x14ac:dyDescent="0.2">
      <c r="A853" s="259"/>
      <c r="B853" s="25" t="s">
        <v>746</v>
      </c>
      <c r="C853" s="25"/>
      <c r="D853" s="65"/>
      <c r="E853" s="23"/>
      <c r="F853" s="235"/>
    </row>
    <row r="854" spans="1:12" ht="51" x14ac:dyDescent="0.2">
      <c r="A854" s="259"/>
      <c r="B854" s="26" t="s">
        <v>859</v>
      </c>
      <c r="C854" s="25"/>
      <c r="D854" s="29">
        <f>2.77*(82.31+13.16+2.68+1.1*2+4.46+1.48+1.87+3.61+1.48+1.8+2.2+2.25+1.48*2+4+2.98+1.7+4.45+2.67+1.1)-(1.55*2+1.6*2.25-3*2)</f>
        <v>385.32719999999989</v>
      </c>
      <c r="E854" s="23"/>
      <c r="F854" s="235"/>
    </row>
    <row r="855" spans="1:12" x14ac:dyDescent="0.2">
      <c r="A855" s="259"/>
      <c r="B855" s="25"/>
      <c r="C855" s="25"/>
      <c r="D855" s="65"/>
      <c r="E855" s="23"/>
      <c r="F855" s="235"/>
      <c r="G855" s="66"/>
    </row>
    <row r="856" spans="1:12" x14ac:dyDescent="0.2">
      <c r="A856" s="259"/>
      <c r="B856" s="25" t="s">
        <v>750</v>
      </c>
      <c r="C856" s="25"/>
      <c r="D856" s="65"/>
      <c r="E856" s="23"/>
      <c r="F856" s="235"/>
    </row>
    <row r="857" spans="1:12" ht="63.75" x14ac:dyDescent="0.2">
      <c r="A857" s="259"/>
      <c r="B857" s="26" t="s">
        <v>860</v>
      </c>
      <c r="C857" s="25"/>
      <c r="D857" s="29">
        <f>2*2.77*(82.31+13.16+2.68+1.1*2+4.46+1.48+1.87+3.61+1.48+1.8+2.2+2.25+1.48*2+4+2.98+1.7+4.45+2.67+1.1)-2*(1.55*2+1.6*2.25-3*2)</f>
        <v>770.65439999999978</v>
      </c>
      <c r="E857" s="23"/>
      <c r="F857" s="235"/>
    </row>
    <row r="858" spans="1:12" x14ac:dyDescent="0.2">
      <c r="A858" s="259"/>
      <c r="B858" s="24"/>
      <c r="C858" s="17"/>
      <c r="D858" s="52"/>
      <c r="E858" s="23"/>
      <c r="F858" s="235"/>
      <c r="G858" s="66"/>
    </row>
    <row r="859" spans="1:12" x14ac:dyDescent="0.2">
      <c r="A859" s="259"/>
      <c r="B859" s="24" t="s">
        <v>776</v>
      </c>
      <c r="C859" s="17"/>
      <c r="D859" s="52"/>
      <c r="E859" s="23"/>
      <c r="F859" s="235"/>
      <c r="G859" s="66"/>
    </row>
    <row r="860" spans="1:12" ht="51" x14ac:dyDescent="0.2">
      <c r="A860" s="259"/>
      <c r="B860" s="26" t="s">
        <v>859</v>
      </c>
      <c r="C860" s="25"/>
      <c r="D860" s="217">
        <f>2.77*(82.31+13.16+2.68+1.1*2+4.46+1.48+1.87+3.61+1.48+1.8+2.2+2.25+1.48*2+4+2.98+1.7+4.45+2.67+1.1)-(1.55*2+1.6*2.25-3*2)</f>
        <v>385.32719999999989</v>
      </c>
      <c r="E860" s="23"/>
      <c r="F860" s="235"/>
      <c r="G860" s="66"/>
    </row>
    <row r="861" spans="1:12" x14ac:dyDescent="0.2">
      <c r="A861" s="259"/>
      <c r="B861" s="24"/>
      <c r="C861" s="17"/>
      <c r="D861" s="52"/>
      <c r="E861" s="23"/>
      <c r="F861" s="235"/>
      <c r="G861" s="66"/>
    </row>
    <row r="862" spans="1:12" x14ac:dyDescent="0.2">
      <c r="A862" s="259"/>
      <c r="B862" s="25" t="s">
        <v>1616</v>
      </c>
      <c r="C862" s="17" t="s">
        <v>39</v>
      </c>
      <c r="D862" s="29">
        <f>SUM(D851:D861)</f>
        <v>1818.9566999999995</v>
      </c>
      <c r="E862" s="12"/>
      <c r="F862" s="249">
        <f>E862*D862</f>
        <v>0</v>
      </c>
    </row>
    <row r="863" spans="1:12" ht="13.5" thickBot="1" x14ac:dyDescent="0.25">
      <c r="A863" s="259"/>
      <c r="B863" s="26"/>
      <c r="C863" s="25"/>
      <c r="D863" s="65"/>
      <c r="E863" s="25"/>
      <c r="F863" s="235"/>
    </row>
    <row r="864" spans="1:12" s="2" customFormat="1" ht="15.95" customHeight="1" thickBot="1" x14ac:dyDescent="0.25">
      <c r="A864" s="243" t="str">
        <f>A420</f>
        <v>4.</v>
      </c>
      <c r="B864" s="46" t="s">
        <v>57</v>
      </c>
      <c r="C864" s="47"/>
      <c r="D864" s="319"/>
      <c r="E864" s="48"/>
      <c r="F864" s="244">
        <f>SUM(F427:F863)</f>
        <v>0</v>
      </c>
      <c r="G864" s="190" t="e">
        <f>+F864/#REF!</f>
        <v>#REF!</v>
      </c>
      <c r="H864" s="197"/>
      <c r="I864" s="3"/>
      <c r="J864" s="3"/>
      <c r="K864" s="3"/>
      <c r="L864" s="3"/>
    </row>
    <row r="865" spans="1:12" s="2" customFormat="1" ht="15.95" customHeight="1" thickBot="1" x14ac:dyDescent="0.25">
      <c r="A865" s="245" t="s">
        <v>27</v>
      </c>
      <c r="B865" s="46" t="s">
        <v>56</v>
      </c>
      <c r="C865" s="47"/>
      <c r="D865" s="319"/>
      <c r="E865" s="56"/>
      <c r="F865" s="246"/>
      <c r="G865" s="190"/>
      <c r="H865" s="197"/>
      <c r="I865" s="3"/>
      <c r="J865" s="3"/>
      <c r="K865" s="3"/>
      <c r="L865" s="3"/>
    </row>
    <row r="866" spans="1:12" x14ac:dyDescent="0.2">
      <c r="A866" s="234"/>
      <c r="B866" s="25"/>
      <c r="C866" s="25"/>
      <c r="D866" s="65"/>
      <c r="E866" s="64"/>
      <c r="F866" s="235"/>
      <c r="H866" s="197"/>
    </row>
    <row r="867" spans="1:12" ht="89.25" x14ac:dyDescent="0.2">
      <c r="A867" s="234" t="s">
        <v>64</v>
      </c>
      <c r="B867" s="61" t="s">
        <v>1001</v>
      </c>
      <c r="C867" s="27"/>
      <c r="D867" s="29"/>
      <c r="E867" s="18"/>
      <c r="F867" s="255"/>
      <c r="G867" s="105"/>
      <c r="H867" s="197"/>
    </row>
    <row r="868" spans="1:12" ht="25.5" x14ac:dyDescent="0.2">
      <c r="A868" s="234"/>
      <c r="B868" s="61" t="s">
        <v>410</v>
      </c>
      <c r="C868" s="27"/>
      <c r="D868" s="29"/>
      <c r="E868" s="18"/>
      <c r="F868" s="255"/>
      <c r="G868" s="105"/>
      <c r="H868" s="197"/>
    </row>
    <row r="869" spans="1:12" x14ac:dyDescent="0.2">
      <c r="A869" s="234"/>
      <c r="B869" s="100" t="s">
        <v>411</v>
      </c>
      <c r="C869" s="27"/>
      <c r="D869" s="29"/>
      <c r="E869" s="18"/>
      <c r="F869" s="255"/>
      <c r="G869" s="105"/>
      <c r="H869" s="197"/>
    </row>
    <row r="870" spans="1:12" x14ac:dyDescent="0.2">
      <c r="A870" s="234"/>
      <c r="B870" s="60" t="s">
        <v>683</v>
      </c>
      <c r="C870" s="27"/>
      <c r="D870" s="29"/>
      <c r="E870" s="18"/>
      <c r="F870" s="255"/>
      <c r="G870" s="105"/>
      <c r="H870" s="197"/>
    </row>
    <row r="871" spans="1:12" x14ac:dyDescent="0.2">
      <c r="A871" s="234"/>
      <c r="B871" s="60" t="s">
        <v>1000</v>
      </c>
      <c r="C871" s="27"/>
      <c r="D871" s="29"/>
      <c r="E871" s="18"/>
      <c r="F871" s="255"/>
      <c r="G871" s="105"/>
      <c r="H871" s="197"/>
    </row>
    <row r="872" spans="1:12" x14ac:dyDescent="0.2">
      <c r="A872" s="234"/>
      <c r="B872" s="60" t="s">
        <v>676</v>
      </c>
      <c r="C872" s="27"/>
      <c r="D872" s="29"/>
      <c r="E872" s="18"/>
      <c r="F872" s="255"/>
      <c r="G872" s="105"/>
      <c r="H872" s="197"/>
    </row>
    <row r="873" spans="1:12" x14ac:dyDescent="0.2">
      <c r="A873" s="234"/>
      <c r="B873" s="60" t="s">
        <v>412</v>
      </c>
      <c r="C873" s="27"/>
      <c r="D873" s="29"/>
      <c r="E873" s="18"/>
      <c r="F873" s="255"/>
      <c r="G873" s="105"/>
      <c r="H873" s="197"/>
    </row>
    <row r="874" spans="1:12" x14ac:dyDescent="0.2">
      <c r="A874" s="234"/>
      <c r="B874" s="60" t="s">
        <v>682</v>
      </c>
      <c r="C874" s="27"/>
      <c r="D874" s="29"/>
      <c r="E874" s="18"/>
      <c r="F874" s="255"/>
      <c r="G874" s="105"/>
      <c r="H874" s="197"/>
    </row>
    <row r="875" spans="1:12" x14ac:dyDescent="0.2">
      <c r="A875" s="234"/>
      <c r="B875" s="60" t="s">
        <v>413</v>
      </c>
      <c r="C875" s="27"/>
      <c r="D875" s="29"/>
      <c r="E875" s="18"/>
      <c r="F875" s="255"/>
      <c r="G875" s="105"/>
      <c r="H875" s="197"/>
    </row>
    <row r="876" spans="1:12" x14ac:dyDescent="0.2">
      <c r="A876" s="234"/>
      <c r="B876" s="60" t="s">
        <v>999</v>
      </c>
      <c r="C876" s="27"/>
      <c r="D876" s="29"/>
      <c r="E876" s="18"/>
      <c r="F876" s="255"/>
      <c r="G876" s="105"/>
      <c r="H876" s="197"/>
    </row>
    <row r="877" spans="1:12" ht="51" x14ac:dyDescent="0.2">
      <c r="A877" s="234"/>
      <c r="B877" s="61" t="s">
        <v>414</v>
      </c>
      <c r="C877" s="27"/>
      <c r="D877" s="29"/>
      <c r="E877" s="18"/>
      <c r="F877" s="255"/>
      <c r="G877" s="105"/>
      <c r="H877" s="197"/>
    </row>
    <row r="878" spans="1:12" ht="51" x14ac:dyDescent="0.2">
      <c r="A878" s="234"/>
      <c r="B878" s="61" t="s">
        <v>415</v>
      </c>
      <c r="C878" s="27"/>
      <c r="D878" s="29"/>
      <c r="E878" s="18"/>
      <c r="F878" s="255"/>
      <c r="G878" s="105"/>
      <c r="H878" s="197"/>
    </row>
    <row r="879" spans="1:12" ht="38.25" x14ac:dyDescent="0.2">
      <c r="A879" s="234"/>
      <c r="B879" s="61" t="s">
        <v>182</v>
      </c>
      <c r="C879" s="62" t="s">
        <v>39</v>
      </c>
      <c r="D879" s="18">
        <v>679.66</v>
      </c>
      <c r="E879" s="18"/>
      <c r="F879" s="255">
        <f>E879*D879</f>
        <v>0</v>
      </c>
      <c r="G879" s="105"/>
      <c r="H879" s="197"/>
    </row>
    <row r="880" spans="1:12" x14ac:dyDescent="0.2">
      <c r="A880" s="234"/>
      <c r="B880" s="25"/>
      <c r="C880" s="25"/>
      <c r="D880" s="65"/>
      <c r="E880" s="25"/>
      <c r="F880" s="235"/>
      <c r="H880" s="197"/>
    </row>
    <row r="881" spans="1:8" ht="51" x14ac:dyDescent="0.2">
      <c r="A881" s="234" t="s">
        <v>151</v>
      </c>
      <c r="B881" s="33" t="s">
        <v>1636</v>
      </c>
      <c r="C881" s="25"/>
      <c r="D881" s="65"/>
      <c r="E881" s="23"/>
      <c r="F881" s="235"/>
      <c r="H881" s="197"/>
    </row>
    <row r="882" spans="1:8" ht="76.5" x14ac:dyDescent="0.2">
      <c r="A882" s="234"/>
      <c r="B882" s="33" t="s">
        <v>416</v>
      </c>
      <c r="C882" s="25"/>
      <c r="D882" s="65"/>
      <c r="E882" s="23"/>
      <c r="F882" s="235"/>
      <c r="H882" s="197"/>
    </row>
    <row r="883" spans="1:8" ht="38.25" x14ac:dyDescent="0.2">
      <c r="A883" s="234"/>
      <c r="B883" s="33" t="s">
        <v>417</v>
      </c>
      <c r="C883" s="62" t="s">
        <v>39</v>
      </c>
      <c r="D883" s="18">
        <v>718.5</v>
      </c>
      <c r="E883" s="18"/>
      <c r="F883" s="255">
        <f>E883*D883</f>
        <v>0</v>
      </c>
      <c r="H883" s="197"/>
    </row>
    <row r="884" spans="1:8" x14ac:dyDescent="0.2">
      <c r="A884" s="234"/>
      <c r="B884" s="33"/>
      <c r="C884" s="27"/>
      <c r="D884" s="29"/>
      <c r="E884" s="18"/>
      <c r="F884" s="255"/>
      <c r="G884" s="105"/>
      <c r="H884" s="197"/>
    </row>
    <row r="885" spans="1:8" ht="51" x14ac:dyDescent="0.2">
      <c r="A885" s="339" t="s">
        <v>118</v>
      </c>
      <c r="B885" s="372" t="s">
        <v>1012</v>
      </c>
      <c r="C885" s="341"/>
      <c r="D885" s="364"/>
      <c r="E885" s="364"/>
      <c r="F885" s="373"/>
      <c r="G885" s="105"/>
      <c r="H885" s="80"/>
    </row>
    <row r="886" spans="1:8" x14ac:dyDescent="0.2">
      <c r="A886" s="234"/>
      <c r="B886" s="33"/>
      <c r="C886" s="62"/>
      <c r="D886" s="18"/>
      <c r="E886" s="18"/>
      <c r="F886" s="255"/>
      <c r="G886" s="105"/>
      <c r="H886" s="80"/>
    </row>
    <row r="887" spans="1:8" ht="76.5" x14ac:dyDescent="0.2">
      <c r="A887" s="234"/>
      <c r="B887" s="33" t="s">
        <v>416</v>
      </c>
      <c r="C887" s="62"/>
      <c r="D887" s="18"/>
      <c r="E887" s="18"/>
      <c r="F887" s="255"/>
      <c r="G887" s="105"/>
      <c r="H887" s="80"/>
    </row>
    <row r="888" spans="1:8" ht="38.25" x14ac:dyDescent="0.2">
      <c r="A888" s="234"/>
      <c r="B888" s="33" t="s">
        <v>417</v>
      </c>
      <c r="C888" s="62"/>
      <c r="D888" s="18"/>
      <c r="E888" s="18"/>
      <c r="F888" s="255"/>
      <c r="G888" s="105"/>
      <c r="H888" s="80"/>
    </row>
    <row r="889" spans="1:8" x14ac:dyDescent="0.2">
      <c r="A889" s="234"/>
      <c r="B889" s="148"/>
      <c r="C889" s="62"/>
      <c r="D889" s="18"/>
      <c r="E889" s="18"/>
      <c r="F889" s="255"/>
      <c r="G889" s="105"/>
      <c r="H889" s="80"/>
    </row>
    <row r="890" spans="1:8" ht="25.5" x14ac:dyDescent="0.2">
      <c r="A890" s="234"/>
      <c r="B890" s="10" t="s">
        <v>852</v>
      </c>
      <c r="C890" s="17"/>
      <c r="D890" s="29"/>
      <c r="E890" s="18"/>
      <c r="F890" s="255"/>
      <c r="G890" s="105"/>
      <c r="H890" s="80"/>
    </row>
    <row r="891" spans="1:8" ht="114.75" x14ac:dyDescent="0.2">
      <c r="A891" s="234"/>
      <c r="B891" s="91" t="s">
        <v>853</v>
      </c>
      <c r="C891" s="17" t="s">
        <v>39</v>
      </c>
      <c r="D891" s="323">
        <f>2.1*(3.51+6.27+1+2.48+5.36+3.72+5.13+6.31)+2.7*(2.65+1.76+7.68+13.72+2.1*2+6.5+1.3+7.6+3.5+3.1+13.5+6.12+1.56+7.97+18.51)-(2.1*2.1+1*1+1.8*1*2+1*1.6+2.7*2.4*6+1.55*1.6+1*1.6*2+1*1*3+1.8*1+2.1*2.1+1*0.6+1+2+1.8*1.5*2+1*2+1.8*1+1.6*2.6+1*1.6+1.8*1+1.8*1.5+1*2*2+0.8*2*2+1*0.6+1.6*2.25)</f>
        <v>241.20700000000005</v>
      </c>
      <c r="E891" s="18"/>
      <c r="F891" s="255">
        <f>E891*D891</f>
        <v>0</v>
      </c>
      <c r="G891" s="105"/>
      <c r="H891" s="80"/>
    </row>
    <row r="892" spans="1:8" x14ac:dyDescent="0.2">
      <c r="A892" s="234"/>
      <c r="B892" s="148"/>
      <c r="C892" s="62"/>
      <c r="D892" s="18"/>
      <c r="E892" s="18"/>
      <c r="F892" s="255"/>
      <c r="G892" s="105"/>
      <c r="H892" s="80"/>
    </row>
    <row r="893" spans="1:8" ht="51" x14ac:dyDescent="0.2">
      <c r="A893" s="234" t="s">
        <v>561</v>
      </c>
      <c r="B893" s="148" t="s">
        <v>1002</v>
      </c>
      <c r="C893" s="62"/>
      <c r="D893" s="18"/>
      <c r="E893" s="18"/>
      <c r="F893" s="255"/>
      <c r="G893" s="105"/>
      <c r="H893" s="80"/>
    </row>
    <row r="894" spans="1:8" ht="51" x14ac:dyDescent="0.2">
      <c r="A894" s="234"/>
      <c r="B894" s="148" t="s">
        <v>1005</v>
      </c>
      <c r="C894" s="62"/>
      <c r="D894" s="18"/>
      <c r="E894" s="18"/>
      <c r="F894" s="255"/>
      <c r="G894" s="105"/>
      <c r="H894" s="80"/>
    </row>
    <row r="895" spans="1:8" ht="25.5" x14ac:dyDescent="0.2">
      <c r="A895" s="234"/>
      <c r="B895" s="148" t="s">
        <v>1003</v>
      </c>
      <c r="C895" s="62"/>
      <c r="D895" s="18"/>
      <c r="E895" s="18"/>
      <c r="F895" s="255"/>
      <c r="G895" s="105"/>
      <c r="H895" s="80"/>
    </row>
    <row r="896" spans="1:8" ht="51" x14ac:dyDescent="0.2">
      <c r="A896" s="234"/>
      <c r="B896" s="61" t="s">
        <v>414</v>
      </c>
      <c r="C896" s="62"/>
      <c r="D896" s="18"/>
      <c r="E896" s="18"/>
      <c r="F896" s="255"/>
      <c r="G896" s="105"/>
      <c r="H896" s="80"/>
    </row>
    <row r="897" spans="1:8" ht="51" x14ac:dyDescent="0.2">
      <c r="A897" s="234"/>
      <c r="B897" s="61" t="s">
        <v>415</v>
      </c>
      <c r="C897" s="62"/>
      <c r="D897" s="18"/>
      <c r="E897" s="18"/>
      <c r="F897" s="255"/>
      <c r="G897" s="105"/>
      <c r="H897" s="80"/>
    </row>
    <row r="898" spans="1:8" ht="38.25" x14ac:dyDescent="0.2">
      <c r="A898" s="339"/>
      <c r="B898" s="357" t="s">
        <v>1004</v>
      </c>
      <c r="C898" s="341"/>
      <c r="D898" s="364"/>
      <c r="E898" s="364"/>
      <c r="F898" s="373"/>
      <c r="G898" s="105"/>
      <c r="H898" s="80"/>
    </row>
    <row r="899" spans="1:8" x14ac:dyDescent="0.2">
      <c r="A899" s="234"/>
      <c r="B899" s="148"/>
      <c r="C899" s="62"/>
      <c r="D899" s="18"/>
      <c r="E899" s="18"/>
      <c r="F899" s="255"/>
      <c r="G899" s="105"/>
      <c r="H899" s="80"/>
    </row>
    <row r="900" spans="1:8" ht="25.5" x14ac:dyDescent="0.2">
      <c r="A900" s="234"/>
      <c r="B900" s="10" t="s">
        <v>852</v>
      </c>
      <c r="C900" s="17"/>
      <c r="D900" s="29"/>
      <c r="E900" s="18"/>
      <c r="F900" s="255"/>
      <c r="G900" s="105"/>
    </row>
    <row r="901" spans="1:8" ht="114.75" x14ac:dyDescent="0.2">
      <c r="A901" s="234"/>
      <c r="B901" s="91" t="s">
        <v>853</v>
      </c>
      <c r="C901" s="17" t="s">
        <v>39</v>
      </c>
      <c r="D901" s="323">
        <f>2.1*(3.51+6.27+1+2.48+5.36+3.72+5.13+6.31)+2.7*(2.65+1.76+7.68+13.72+2.1*2+6.5+1.3+7.6+3.5+3.1+13.5+6.12+1.56+7.97+18.51)-(2.1*2.1+1*1+1.8*1*2+1*1.6+2.7*2.4*6+1.55*1.6+1*1.6*2+1*1*3+1.8*1+2.1*2.1+1*0.6+1+2+1.8*1.5*2+1*2+1.8*1+1.6*2.6+1*1.6+1.8*1+1.8*1.5+1*2*2+0.8*2*2+1*0.6+1.6*2.25)</f>
        <v>241.20700000000005</v>
      </c>
      <c r="E901" s="18"/>
      <c r="F901" s="255">
        <f>E901*D901</f>
        <v>0</v>
      </c>
      <c r="G901" s="105"/>
    </row>
    <row r="902" spans="1:8" x14ac:dyDescent="0.2">
      <c r="A902" s="234"/>
      <c r="B902" s="91"/>
      <c r="C902" s="17"/>
      <c r="D902" s="323"/>
      <c r="E902" s="18"/>
      <c r="F902" s="255"/>
      <c r="G902" s="105"/>
    </row>
    <row r="903" spans="1:8" ht="38.25" x14ac:dyDescent="0.2">
      <c r="A903" s="234" t="s">
        <v>1030</v>
      </c>
      <c r="B903" s="33" t="s">
        <v>1637</v>
      </c>
      <c r="C903" s="27"/>
      <c r="D903" s="29"/>
      <c r="E903" s="18"/>
      <c r="F903" s="255"/>
      <c r="G903" s="105"/>
      <c r="H903" s="80"/>
    </row>
    <row r="904" spans="1:8" ht="63.75" x14ac:dyDescent="0.2">
      <c r="A904" s="234"/>
      <c r="B904" s="33" t="s">
        <v>1031</v>
      </c>
      <c r="C904" s="27"/>
      <c r="D904" s="29"/>
      <c r="E904" s="18"/>
      <c r="F904" s="255"/>
      <c r="G904" s="105"/>
      <c r="H904" s="80"/>
    </row>
    <row r="905" spans="1:8" ht="38.25" x14ac:dyDescent="0.2">
      <c r="A905" s="234"/>
      <c r="B905" s="33" t="s">
        <v>1032</v>
      </c>
      <c r="C905" s="27"/>
      <c r="D905" s="29"/>
      <c r="E905" s="18"/>
      <c r="F905" s="255"/>
      <c r="G905" s="105"/>
      <c r="H905" s="80"/>
    </row>
    <row r="906" spans="1:8" ht="25.5" x14ac:dyDescent="0.2">
      <c r="A906" s="234"/>
      <c r="B906" s="33" t="s">
        <v>1033</v>
      </c>
      <c r="C906" s="27"/>
      <c r="D906" s="29"/>
      <c r="E906" s="18"/>
      <c r="F906" s="255"/>
      <c r="G906" s="105"/>
      <c r="H906" s="80"/>
    </row>
    <row r="907" spans="1:8" x14ac:dyDescent="0.2">
      <c r="A907" s="234"/>
      <c r="B907" s="33"/>
      <c r="C907" s="27"/>
      <c r="D907" s="29"/>
      <c r="E907" s="18"/>
      <c r="F907" s="255"/>
      <c r="G907" s="105"/>
      <c r="H907" s="80"/>
    </row>
    <row r="908" spans="1:8" ht="25.5" x14ac:dyDescent="0.2">
      <c r="A908" s="234"/>
      <c r="B908" s="26" t="s">
        <v>1562</v>
      </c>
      <c r="C908" s="62" t="s">
        <v>39</v>
      </c>
      <c r="D908" s="60">
        <f>(0.2+0.2+0.32)*(6.5+7.1)+(0.26+0.18+0.22)*(3.43*3+7.53)</f>
        <v>21.5532</v>
      </c>
      <c r="E908" s="18"/>
      <c r="F908" s="255">
        <f>E908*D908</f>
        <v>0</v>
      </c>
      <c r="G908" s="105"/>
      <c r="H908" s="80"/>
    </row>
    <row r="909" spans="1:8" x14ac:dyDescent="0.2">
      <c r="A909" s="234"/>
      <c r="B909" s="66"/>
      <c r="C909" s="62"/>
      <c r="D909" s="29"/>
      <c r="E909" s="18"/>
      <c r="F909" s="255"/>
      <c r="G909" s="105"/>
      <c r="H909" s="80"/>
    </row>
    <row r="910" spans="1:8" ht="51" x14ac:dyDescent="0.2">
      <c r="A910" s="234" t="s">
        <v>1154</v>
      </c>
      <c r="B910" s="66" t="s">
        <v>1155</v>
      </c>
      <c r="C910" s="62"/>
      <c r="D910" s="29"/>
      <c r="E910" s="18"/>
      <c r="F910" s="255"/>
      <c r="G910" s="105"/>
      <c r="H910" s="80"/>
    </row>
    <row r="911" spans="1:8" ht="38.25" x14ac:dyDescent="0.2">
      <c r="A911" s="234"/>
      <c r="B911" s="66" t="s">
        <v>1156</v>
      </c>
      <c r="C911" s="62"/>
      <c r="D911" s="29"/>
      <c r="E911" s="18"/>
      <c r="F911" s="255"/>
      <c r="G911" s="105"/>
      <c r="H911" s="80"/>
    </row>
    <row r="912" spans="1:8" ht="25.5" x14ac:dyDescent="0.2">
      <c r="A912" s="234"/>
      <c r="B912" s="33" t="s">
        <v>1033</v>
      </c>
      <c r="C912" s="62"/>
      <c r="D912" s="29"/>
      <c r="E912" s="18"/>
      <c r="F912" s="255"/>
      <c r="G912" s="105"/>
      <c r="H912" s="80"/>
    </row>
    <row r="913" spans="1:12" x14ac:dyDescent="0.2">
      <c r="A913" s="234"/>
      <c r="B913" s="66"/>
      <c r="C913" s="62"/>
      <c r="D913" s="29"/>
      <c r="E913" s="18"/>
      <c r="F913" s="255"/>
      <c r="G913" s="105"/>
      <c r="H913" s="80"/>
    </row>
    <row r="914" spans="1:12" x14ac:dyDescent="0.2">
      <c r="A914" s="339"/>
      <c r="B914" s="350" t="s">
        <v>1142</v>
      </c>
      <c r="C914" s="341" t="s">
        <v>39</v>
      </c>
      <c r="D914" s="374">
        <f>2.9*1.4</f>
        <v>4.0599999999999996</v>
      </c>
      <c r="E914" s="364"/>
      <c r="F914" s="373">
        <f>E914*D914</f>
        <v>0</v>
      </c>
      <c r="G914" s="105"/>
      <c r="H914" s="80"/>
    </row>
    <row r="915" spans="1:12" x14ac:dyDescent="0.2">
      <c r="A915" s="234"/>
      <c r="B915" s="66"/>
      <c r="C915" s="62"/>
      <c r="D915" s="92"/>
      <c r="E915" s="18"/>
      <c r="F915" s="255"/>
      <c r="G915" s="105"/>
      <c r="H915" s="80"/>
    </row>
    <row r="916" spans="1:12" ht="63.75" x14ac:dyDescent="0.2">
      <c r="A916" s="234" t="s">
        <v>1508</v>
      </c>
      <c r="B916" s="223" t="s">
        <v>297</v>
      </c>
      <c r="C916" s="62"/>
      <c r="D916" s="92"/>
      <c r="E916" s="18"/>
      <c r="F916" s="255"/>
      <c r="G916" s="105"/>
      <c r="H916" s="80"/>
    </row>
    <row r="917" spans="1:12" ht="51" x14ac:dyDescent="0.2">
      <c r="A917" s="234"/>
      <c r="B917" s="223" t="s">
        <v>298</v>
      </c>
      <c r="C917" s="62"/>
      <c r="D917" s="92"/>
      <c r="E917" s="18"/>
      <c r="F917" s="255"/>
      <c r="G917" s="105"/>
      <c r="H917" s="80"/>
    </row>
    <row r="918" spans="1:12" x14ac:dyDescent="0.2">
      <c r="A918" s="234"/>
      <c r="B918" s="12" t="s">
        <v>42</v>
      </c>
      <c r="C918" s="62"/>
      <c r="D918" s="92"/>
      <c r="E918" s="18"/>
      <c r="F918" s="255"/>
      <c r="G918" s="105"/>
      <c r="H918" s="80"/>
    </row>
    <row r="919" spans="1:12" x14ac:dyDescent="0.2">
      <c r="A919" s="234"/>
      <c r="B919" s="66"/>
      <c r="C919" s="62"/>
      <c r="D919" s="92"/>
      <c r="E919" s="18"/>
      <c r="F919" s="255"/>
      <c r="G919" s="105"/>
      <c r="H919" s="80"/>
    </row>
    <row r="920" spans="1:12" x14ac:dyDescent="0.2">
      <c r="A920" s="234"/>
      <c r="B920" s="66" t="s">
        <v>1509</v>
      </c>
      <c r="C920" s="62" t="s">
        <v>39</v>
      </c>
      <c r="D920" s="92">
        <f>2.2*(4.54*2+1.95)</f>
        <v>24.266000000000002</v>
      </c>
      <c r="E920" s="18"/>
      <c r="F920" s="255">
        <f>E920*D920</f>
        <v>0</v>
      </c>
      <c r="G920" s="105"/>
      <c r="H920" s="80"/>
    </row>
    <row r="921" spans="1:12" ht="13.5" thickBot="1" x14ac:dyDescent="0.25">
      <c r="A921" s="234"/>
      <c r="B921" s="9"/>
      <c r="C921" s="62"/>
      <c r="D921" s="18"/>
      <c r="E921" s="18"/>
      <c r="F921" s="255"/>
      <c r="G921" s="105"/>
      <c r="H921" s="80"/>
    </row>
    <row r="922" spans="1:12" s="2" customFormat="1" ht="15.95" customHeight="1" thickBot="1" x14ac:dyDescent="0.25">
      <c r="A922" s="261" t="str">
        <f>A865</f>
        <v>5.</v>
      </c>
      <c r="B922" s="49" t="s">
        <v>58</v>
      </c>
      <c r="C922" s="50"/>
      <c r="D922" s="324"/>
      <c r="E922" s="51"/>
      <c r="F922" s="244">
        <f>SUM(F867:F921)</f>
        <v>0</v>
      </c>
      <c r="G922" s="198"/>
      <c r="H922" s="4"/>
      <c r="I922" s="3"/>
      <c r="J922" s="3"/>
      <c r="K922" s="3"/>
      <c r="L922" s="3"/>
    </row>
    <row r="923" spans="1:12" s="2" customFormat="1" ht="15.95" customHeight="1" thickBot="1" x14ac:dyDescent="0.25">
      <c r="A923" s="262" t="s">
        <v>45</v>
      </c>
      <c r="B923" s="57" t="s">
        <v>98</v>
      </c>
      <c r="C923" s="58"/>
      <c r="D923" s="325"/>
      <c r="E923" s="59"/>
      <c r="F923" s="263"/>
      <c r="G923" s="198"/>
      <c r="H923" s="4"/>
      <c r="I923" s="3"/>
      <c r="J923" s="3"/>
      <c r="K923" s="3"/>
      <c r="L923" s="3"/>
    </row>
    <row r="924" spans="1:12" x14ac:dyDescent="0.2">
      <c r="A924" s="234"/>
      <c r="B924" s="25"/>
      <c r="C924" s="25"/>
      <c r="D924" s="65"/>
      <c r="E924" s="64"/>
      <c r="F924" s="235"/>
    </row>
    <row r="925" spans="1:12" x14ac:dyDescent="0.2">
      <c r="A925" s="234"/>
      <c r="B925" s="74" t="s">
        <v>62</v>
      </c>
      <c r="C925" s="25"/>
      <c r="D925" s="65"/>
      <c r="E925" s="25"/>
      <c r="F925" s="235"/>
    </row>
    <row r="926" spans="1:12" ht="63.75" x14ac:dyDescent="0.2">
      <c r="A926" s="234"/>
      <c r="B926" s="66" t="s">
        <v>1563</v>
      </c>
      <c r="C926" s="25"/>
      <c r="D926" s="65"/>
      <c r="E926" s="25"/>
      <c r="F926" s="235"/>
    </row>
    <row r="927" spans="1:12" ht="63.75" x14ac:dyDescent="0.2">
      <c r="A927" s="234"/>
      <c r="B927" s="66" t="s">
        <v>1564</v>
      </c>
      <c r="C927" s="25"/>
      <c r="D927" s="65"/>
      <c r="E927" s="25"/>
      <c r="F927" s="235"/>
    </row>
    <row r="928" spans="1:12" ht="38.25" x14ac:dyDescent="0.2">
      <c r="A928" s="234"/>
      <c r="B928" s="66" t="s">
        <v>1565</v>
      </c>
      <c r="C928" s="25"/>
      <c r="D928" s="65"/>
      <c r="E928" s="25"/>
      <c r="F928" s="235"/>
    </row>
    <row r="929" spans="1:7" x14ac:dyDescent="0.2">
      <c r="A929" s="234"/>
      <c r="B929" s="74"/>
      <c r="C929" s="25"/>
      <c r="D929" s="65"/>
      <c r="E929" s="25"/>
      <c r="F929" s="235"/>
    </row>
    <row r="930" spans="1:7" ht="51" x14ac:dyDescent="0.2">
      <c r="A930" s="234" t="s">
        <v>65</v>
      </c>
      <c r="B930" s="310" t="s">
        <v>1285</v>
      </c>
      <c r="C930" s="25"/>
      <c r="D930" s="65"/>
      <c r="E930" s="25"/>
      <c r="F930" s="235"/>
    </row>
    <row r="931" spans="1:7" ht="25.5" x14ac:dyDescent="0.2">
      <c r="A931" s="234"/>
      <c r="B931" s="126" t="s">
        <v>418</v>
      </c>
      <c r="C931" s="25"/>
      <c r="D931" s="65"/>
      <c r="E931" s="25"/>
      <c r="F931" s="235"/>
    </row>
    <row r="932" spans="1:7" ht="51" x14ac:dyDescent="0.2">
      <c r="A932" s="234"/>
      <c r="B932" s="1" t="s">
        <v>517</v>
      </c>
      <c r="C932" s="25"/>
      <c r="D932" s="65"/>
      <c r="E932" s="25"/>
      <c r="F932" s="235"/>
    </row>
    <row r="933" spans="1:7" ht="51" x14ac:dyDescent="0.2">
      <c r="A933" s="234"/>
      <c r="B933" s="1" t="s">
        <v>518</v>
      </c>
      <c r="C933" s="25"/>
      <c r="D933" s="65"/>
      <c r="E933" s="25"/>
      <c r="F933" s="235"/>
    </row>
    <row r="934" spans="1:7" ht="76.5" x14ac:dyDescent="0.2">
      <c r="A934" s="234"/>
      <c r="B934" s="450" t="s">
        <v>519</v>
      </c>
      <c r="C934" s="25"/>
      <c r="D934" s="65"/>
      <c r="E934" s="25"/>
      <c r="F934" s="235"/>
    </row>
    <row r="935" spans="1:7" ht="25.5" x14ac:dyDescent="0.2">
      <c r="A935" s="234"/>
      <c r="B935" s="450" t="s">
        <v>520</v>
      </c>
      <c r="C935" s="25"/>
      <c r="D935" s="65"/>
      <c r="E935" s="25"/>
      <c r="F935" s="235"/>
    </row>
    <row r="936" spans="1:7" ht="25.5" x14ac:dyDescent="0.2">
      <c r="A936" s="234"/>
      <c r="B936" s="34" t="s">
        <v>299</v>
      </c>
      <c r="C936" s="25"/>
      <c r="D936" s="65"/>
      <c r="E936" s="25"/>
      <c r="F936" s="235"/>
    </row>
    <row r="937" spans="1:7" x14ac:dyDescent="0.2">
      <c r="A937" s="234"/>
      <c r="B937" s="34"/>
      <c r="C937" s="25"/>
      <c r="D937" s="65"/>
      <c r="E937" s="25"/>
      <c r="F937" s="235"/>
    </row>
    <row r="938" spans="1:7" ht="25.5" x14ac:dyDescent="0.2">
      <c r="A938" s="234"/>
      <c r="B938" s="25" t="s">
        <v>1287</v>
      </c>
      <c r="C938" s="25"/>
      <c r="D938" s="65"/>
      <c r="E938" s="25"/>
      <c r="F938" s="235"/>
    </row>
    <row r="939" spans="1:7" ht="38.25" x14ac:dyDescent="0.2">
      <c r="A939" s="375"/>
      <c r="B939" s="356" t="s">
        <v>1286</v>
      </c>
      <c r="C939" s="341" t="s">
        <v>39</v>
      </c>
      <c r="D939" s="342">
        <f>15.7+47.53+0.3*(2.65+3*4.45+9.73+6.82)+1.15*0.85+1.13*(0.85*2+1.15*2)</f>
        <v>78.492500000000007</v>
      </c>
      <c r="E939" s="352"/>
      <c r="F939" s="344">
        <f>D939*E939</f>
        <v>0</v>
      </c>
      <c r="G939" s="10"/>
    </row>
    <row r="940" spans="1:7" x14ac:dyDescent="0.2">
      <c r="A940" s="257"/>
      <c r="B940" s="60"/>
      <c r="C940" s="17"/>
      <c r="D940" s="65"/>
      <c r="E940" s="20"/>
      <c r="F940" s="249"/>
      <c r="G940" s="10"/>
    </row>
    <row r="941" spans="1:7" ht="76.5" x14ac:dyDescent="0.2">
      <c r="A941" s="264" t="s">
        <v>66</v>
      </c>
      <c r="B941" s="451" t="s">
        <v>1260</v>
      </c>
      <c r="C941" s="17"/>
      <c r="D941" s="65"/>
      <c r="E941" s="20"/>
      <c r="F941" s="249"/>
      <c r="G941" s="10"/>
    </row>
    <row r="942" spans="1:7" ht="127.5" x14ac:dyDescent="0.2">
      <c r="A942" s="257"/>
      <c r="B942" s="309" t="s">
        <v>1255</v>
      </c>
      <c r="C942" s="17"/>
      <c r="D942" s="65"/>
      <c r="E942" s="20"/>
      <c r="F942" s="249"/>
      <c r="G942" s="10"/>
    </row>
    <row r="943" spans="1:7" ht="53.25" customHeight="1" x14ac:dyDescent="0.2">
      <c r="A943" s="257"/>
      <c r="B943" s="309" t="s">
        <v>1256</v>
      </c>
      <c r="C943" s="17"/>
      <c r="D943" s="65"/>
      <c r="E943" s="20"/>
      <c r="F943" s="249"/>
      <c r="G943" s="10"/>
    </row>
    <row r="944" spans="1:7" ht="102" x14ac:dyDescent="0.2">
      <c r="A944" s="257"/>
      <c r="B944" s="309" t="s">
        <v>1257</v>
      </c>
      <c r="C944" s="17"/>
      <c r="D944" s="65"/>
      <c r="E944" s="20"/>
      <c r="F944" s="249"/>
      <c r="G944" s="10"/>
    </row>
    <row r="945" spans="1:7" ht="89.25" x14ac:dyDescent="0.2">
      <c r="A945" s="257"/>
      <c r="B945" s="309" t="s">
        <v>1258</v>
      </c>
      <c r="C945" s="17"/>
      <c r="D945" s="65"/>
      <c r="E945" s="20"/>
      <c r="F945" s="249"/>
      <c r="G945" s="10"/>
    </row>
    <row r="946" spans="1:7" ht="38.25" x14ac:dyDescent="0.2">
      <c r="A946" s="257"/>
      <c r="B946" s="309" t="s">
        <v>1259</v>
      </c>
      <c r="C946" s="17"/>
      <c r="D946" s="65"/>
      <c r="E946" s="20"/>
      <c r="F946" s="249"/>
      <c r="G946" s="10"/>
    </row>
    <row r="947" spans="1:7" ht="114.75" x14ac:dyDescent="0.2">
      <c r="A947" s="257"/>
      <c r="B947" s="309" t="s">
        <v>1254</v>
      </c>
      <c r="C947" s="17"/>
      <c r="D947" s="65"/>
      <c r="E947" s="20"/>
      <c r="F947" s="249"/>
      <c r="G947" s="10"/>
    </row>
    <row r="948" spans="1:7" ht="25.5" x14ac:dyDescent="0.2">
      <c r="A948" s="257"/>
      <c r="B948" s="34" t="s">
        <v>299</v>
      </c>
      <c r="C948" s="62"/>
      <c r="D948" s="29"/>
      <c r="E948" s="20"/>
      <c r="F948" s="249">
        <f>D948*E948</f>
        <v>0</v>
      </c>
      <c r="G948" s="10"/>
    </row>
    <row r="949" spans="1:7" x14ac:dyDescent="0.2">
      <c r="A949" s="257"/>
      <c r="B949" s="34"/>
      <c r="C949" s="62"/>
      <c r="D949" s="29"/>
      <c r="E949" s="20"/>
      <c r="F949" s="249"/>
      <c r="G949" s="10"/>
    </row>
    <row r="950" spans="1:7" ht="25.5" x14ac:dyDescent="0.2">
      <c r="A950" s="375"/>
      <c r="B950" s="356" t="s">
        <v>1566</v>
      </c>
      <c r="C950" s="341" t="s">
        <v>39</v>
      </c>
      <c r="D950" s="356">
        <f>(0.7*2+0.7*2+1.5)*(5.78+5.15+2.15+4.9+6.38+3+6.35+5.78)</f>
        <v>169.80699999999999</v>
      </c>
      <c r="E950" s="352"/>
      <c r="F950" s="344">
        <f>D950*E950</f>
        <v>0</v>
      </c>
      <c r="G950" s="10"/>
    </row>
    <row r="951" spans="1:7" x14ac:dyDescent="0.2">
      <c r="A951" s="257"/>
      <c r="B951" s="61"/>
      <c r="C951" s="27"/>
      <c r="D951" s="65"/>
      <c r="E951" s="20"/>
      <c r="F951" s="249"/>
      <c r="G951" s="10"/>
    </row>
    <row r="952" spans="1:7" ht="51" x14ac:dyDescent="0.2">
      <c r="A952" s="234" t="s">
        <v>1</v>
      </c>
      <c r="B952" s="74" t="s">
        <v>1642</v>
      </c>
      <c r="C952" s="25"/>
      <c r="D952" s="65"/>
      <c r="E952" s="25"/>
      <c r="F952" s="235"/>
    </row>
    <row r="953" spans="1:7" ht="38.25" x14ac:dyDescent="0.2">
      <c r="A953" s="234"/>
      <c r="B953" s="1" t="s">
        <v>844</v>
      </c>
      <c r="C953" s="25"/>
      <c r="D953" s="65"/>
      <c r="E953" s="25"/>
      <c r="F953" s="235"/>
    </row>
    <row r="954" spans="1:7" ht="38.25" x14ac:dyDescent="0.2">
      <c r="A954" s="234"/>
      <c r="B954" s="81" t="s">
        <v>521</v>
      </c>
      <c r="C954" s="25"/>
      <c r="D954" s="65"/>
      <c r="E954" s="25"/>
      <c r="F954" s="235"/>
    </row>
    <row r="955" spans="1:7" ht="89.25" x14ac:dyDescent="0.2">
      <c r="A955" s="234"/>
      <c r="B955" s="81" t="s">
        <v>522</v>
      </c>
      <c r="C955" s="25"/>
      <c r="D955" s="65"/>
      <c r="E955" s="25"/>
      <c r="F955" s="235"/>
    </row>
    <row r="956" spans="1:7" ht="38.25" x14ac:dyDescent="0.2">
      <c r="A956" s="234"/>
      <c r="B956" s="81" t="s">
        <v>523</v>
      </c>
      <c r="C956" s="25"/>
      <c r="D956" s="65"/>
      <c r="E956" s="25"/>
      <c r="F956" s="235"/>
    </row>
    <row r="957" spans="1:7" ht="51" x14ac:dyDescent="0.2">
      <c r="A957" s="234"/>
      <c r="B957" s="81" t="s">
        <v>419</v>
      </c>
      <c r="C957" s="25"/>
      <c r="D957" s="65"/>
      <c r="E957" s="25"/>
      <c r="F957" s="235"/>
    </row>
    <row r="958" spans="1:7" ht="25.5" x14ac:dyDescent="0.2">
      <c r="A958" s="234"/>
      <c r="B958" s="121" t="s">
        <v>299</v>
      </c>
      <c r="C958" s="25"/>
      <c r="D958" s="65"/>
      <c r="E958" s="25"/>
      <c r="F958" s="235"/>
    </row>
    <row r="959" spans="1:7" x14ac:dyDescent="0.2">
      <c r="A959" s="234"/>
      <c r="B959" s="9"/>
      <c r="C959" s="25"/>
      <c r="D959" s="65"/>
      <c r="E959" s="25"/>
      <c r="F959" s="235"/>
    </row>
    <row r="960" spans="1:7" ht="25.5" x14ac:dyDescent="0.2">
      <c r="A960" s="247" t="s">
        <v>155</v>
      </c>
      <c r="B960" s="9" t="s">
        <v>932</v>
      </c>
      <c r="C960" s="25"/>
      <c r="D960" s="452"/>
      <c r="E960" s="453"/>
      <c r="F960" s="235"/>
    </row>
    <row r="961" spans="1:7" x14ac:dyDescent="0.2">
      <c r="A961" s="234"/>
      <c r="B961" s="25" t="s">
        <v>28</v>
      </c>
      <c r="C961" s="25"/>
      <c r="D961" s="65"/>
      <c r="E961" s="25"/>
      <c r="F961" s="235"/>
    </row>
    <row r="962" spans="1:7" ht="102" x14ac:dyDescent="0.2">
      <c r="A962" s="234"/>
      <c r="B962" s="26" t="s">
        <v>1008</v>
      </c>
      <c r="C962" s="25"/>
      <c r="D962" s="29">
        <f>4+4.31+4.02+4.34+4.33+1.59+4.36+4.67+4.37+4.44+1.57+4.31+3.78*2+4+2.09+4.72+4+2.28+2.36+4.98+0.2*(8.38+8.7+8.38+8.55+8.61+5.18+8.55+  8.79+8.6+8.75+5.13+8.55)+1.6*(0.8*2+1.9+0.7*2*2+1.8*2+(0.7*2+1.7)*3+0.8*2+1.8+0.75*2+1.6+0.8*2+1.85)</f>
        <v>144.17400000000001</v>
      </c>
      <c r="E962" s="25"/>
      <c r="F962" s="235"/>
    </row>
    <row r="963" spans="1:7" x14ac:dyDescent="0.2">
      <c r="A963" s="234"/>
      <c r="B963" s="25"/>
      <c r="C963" s="25"/>
      <c r="D963" s="65"/>
      <c r="E963" s="25"/>
      <c r="F963" s="235"/>
    </row>
    <row r="964" spans="1:7" x14ac:dyDescent="0.2">
      <c r="A964" s="234"/>
      <c r="B964" s="25" t="s">
        <v>746</v>
      </c>
      <c r="C964" s="25"/>
      <c r="D964" s="65"/>
      <c r="E964" s="25"/>
      <c r="F964" s="235"/>
    </row>
    <row r="965" spans="1:7" ht="89.25" x14ac:dyDescent="0.2">
      <c r="A965" s="339"/>
      <c r="B965" s="354" t="s">
        <v>1009</v>
      </c>
      <c r="C965" s="347"/>
      <c r="D965" s="342">
        <f>4.37+4.44+1.57+4.31+3.92+4+4.31+4.02+4.36+4.33+1.59+4.34+4.28+0.2*(8.6+8.75+5.13+8.55+8.12+8.4+8.55+8.38+8.55+8.54+8.61+5.16+8.55+8.54+8.37)+1.6*(0.8*2+1.9+0.7*2*2+1.8*2+(0.7*2+1.7)*3+0.8*2+1.8+0.75*2+1.6*2+0.8*2+1.85)</f>
        <v>123.20000000000002</v>
      </c>
      <c r="E965" s="347"/>
      <c r="F965" s="349"/>
    </row>
    <row r="966" spans="1:7" x14ac:dyDescent="0.2">
      <c r="A966" s="234"/>
      <c r="B966" s="26"/>
      <c r="C966" s="25"/>
      <c r="D966" s="65"/>
      <c r="E966" s="25"/>
      <c r="F966" s="235"/>
    </row>
    <row r="967" spans="1:7" x14ac:dyDescent="0.2">
      <c r="A967" s="234"/>
      <c r="B967" s="25" t="s">
        <v>750</v>
      </c>
      <c r="C967" s="25"/>
      <c r="D967" s="65"/>
      <c r="E967" s="25"/>
      <c r="F967" s="235"/>
    </row>
    <row r="968" spans="1:7" ht="105" customHeight="1" x14ac:dyDescent="0.2">
      <c r="A968" s="234"/>
      <c r="B968" s="60" t="s">
        <v>1010</v>
      </c>
      <c r="C968" s="25"/>
      <c r="D968" s="29">
        <f>2*(4.37+4.44+1.57+4.31+3.92+4+4.31+4.02+4.36+4.33+1.59+4.34+4.28)+2*0.2*(8.6+8.49+8.75+10.25+5.13+8.55+8.47+8.12+8.8+8.4+8.52+8.55+8.39+8.38+8.59+8.55+8.54+8.61+10+5.16+8.55+8.54+8.37+9.12)+2*1.6*(0.8*2+1.9+0.7*2*2+1.8*2+(0.7*2+1.7)*3+0.8*2+1.8+0.75*2+1.6*2+0.8*2+1.85)</f>
        <v>278.65200000000004</v>
      </c>
      <c r="E968" s="25"/>
      <c r="F968" s="235"/>
    </row>
    <row r="969" spans="1:7" x14ac:dyDescent="0.2">
      <c r="A969" s="234"/>
      <c r="B969" s="24"/>
      <c r="C969" s="17"/>
      <c r="D969" s="52"/>
      <c r="E969" s="25"/>
      <c r="F969" s="235"/>
    </row>
    <row r="970" spans="1:7" x14ac:dyDescent="0.2">
      <c r="A970" s="234"/>
      <c r="B970" s="24" t="s">
        <v>776</v>
      </c>
      <c r="C970" s="17"/>
      <c r="D970" s="52"/>
      <c r="E970" s="25"/>
      <c r="F970" s="235"/>
    </row>
    <row r="971" spans="1:7" ht="89.25" x14ac:dyDescent="0.2">
      <c r="A971" s="234"/>
      <c r="B971" s="26" t="s">
        <v>1011</v>
      </c>
      <c r="C971" s="25"/>
      <c r="D971" s="29">
        <f>4.37+4.44+1.57+4.31+3.92+4+4.31+4.02+4.36+4.33+1.59+4.34+4.28+0.2*(8.6+8.75+5.13+8.55+8.12+8.4+8.55+8.38+8.55+8.61+5.16+8.55+8.37)+1.6*(0.8*2+1.9+0.7*2*2+1.8*2+(0.7*2+1.7)*3+0.8*2+1.8+0.75*2+1.6*2+0.8*2+1.85)</f>
        <v>119.78400000000002</v>
      </c>
      <c r="E971" s="25"/>
      <c r="F971" s="235"/>
    </row>
    <row r="972" spans="1:7" x14ac:dyDescent="0.2">
      <c r="A972" s="234"/>
      <c r="B972" s="24"/>
      <c r="C972" s="17"/>
      <c r="D972" s="52"/>
      <c r="E972" s="25"/>
      <c r="F972" s="235"/>
    </row>
    <row r="973" spans="1:7" x14ac:dyDescent="0.2">
      <c r="A973" s="234"/>
      <c r="B973" s="25" t="s">
        <v>198</v>
      </c>
      <c r="C973" s="17" t="s">
        <v>39</v>
      </c>
      <c r="D973" s="29">
        <f>SUM(D962:D972)</f>
        <v>665.81000000000006</v>
      </c>
      <c r="E973" s="30"/>
      <c r="F973" s="249">
        <f>D973*E973</f>
        <v>0</v>
      </c>
      <c r="G973" s="89"/>
    </row>
    <row r="974" spans="1:7" s="74" customFormat="1" x14ac:dyDescent="0.2">
      <c r="A974" s="234"/>
      <c r="B974" s="26"/>
      <c r="C974" s="62"/>
      <c r="D974" s="29"/>
      <c r="E974" s="23"/>
      <c r="F974" s="255"/>
      <c r="G974" s="98"/>
    </row>
    <row r="975" spans="1:7" x14ac:dyDescent="0.2">
      <c r="A975" s="247" t="s">
        <v>156</v>
      </c>
      <c r="B975" s="81" t="s">
        <v>698</v>
      </c>
      <c r="C975" s="25"/>
      <c r="D975" s="65"/>
      <c r="E975" s="25"/>
      <c r="F975" s="235"/>
    </row>
    <row r="976" spans="1:7" x14ac:dyDescent="0.2">
      <c r="A976" s="234"/>
      <c r="B976" s="25" t="s">
        <v>28</v>
      </c>
      <c r="C976" s="25"/>
      <c r="D976" s="65"/>
      <c r="E976" s="25"/>
      <c r="F976" s="235"/>
    </row>
    <row r="977" spans="1:13" ht="38.25" x14ac:dyDescent="0.2">
      <c r="A977" s="234"/>
      <c r="B977" s="26" t="s">
        <v>787</v>
      </c>
      <c r="C977" s="25"/>
      <c r="D977" s="29">
        <f>3.78*2+4+2.09+4.72+4+2.28+2.36+4.98+3.78+0.2*(2.7*5+1.3*4+0.7*3+1.9+2.73*2)</f>
        <v>41.401999999999994</v>
      </c>
      <c r="E977" s="25"/>
      <c r="F977" s="235"/>
    </row>
    <row r="978" spans="1:13" x14ac:dyDescent="0.2">
      <c r="A978" s="234"/>
      <c r="B978" s="25"/>
      <c r="C978" s="25"/>
      <c r="D978" s="65"/>
      <c r="E978" s="25"/>
      <c r="F978" s="235"/>
    </row>
    <row r="979" spans="1:13" x14ac:dyDescent="0.2">
      <c r="A979" s="234"/>
      <c r="B979" s="25" t="s">
        <v>746</v>
      </c>
      <c r="C979" s="25"/>
      <c r="D979" s="65"/>
      <c r="E979" s="25"/>
      <c r="F979" s="235"/>
    </row>
    <row r="980" spans="1:13" ht="38.25" x14ac:dyDescent="0.2">
      <c r="A980" s="234"/>
      <c r="B980" s="26" t="s">
        <v>788</v>
      </c>
      <c r="C980" s="25"/>
      <c r="D980" s="29">
        <f>2.36+4.98+3.78+3.78+3.78+3.79+4+4+4.72+4+2.28+0.2*(2.7*5+1.3*4+0.7*3+1.9+2.73*3)</f>
        <v>47.647999999999996</v>
      </c>
      <c r="E980" s="25"/>
      <c r="F980" s="235"/>
    </row>
    <row r="981" spans="1:13" x14ac:dyDescent="0.2">
      <c r="A981" s="234"/>
      <c r="B981" s="26"/>
      <c r="C981" s="25"/>
      <c r="D981" s="65"/>
      <c r="E981" s="25"/>
      <c r="F981" s="235"/>
    </row>
    <row r="982" spans="1:13" x14ac:dyDescent="0.2">
      <c r="A982" s="234"/>
      <c r="B982" s="25"/>
      <c r="C982" s="25"/>
      <c r="D982" s="65"/>
      <c r="E982" s="25"/>
      <c r="F982" s="235"/>
    </row>
    <row r="983" spans="1:13" x14ac:dyDescent="0.2">
      <c r="A983" s="234"/>
      <c r="B983" s="25" t="s">
        <v>750</v>
      </c>
      <c r="C983" s="25"/>
      <c r="D983" s="65"/>
      <c r="E983" s="25"/>
      <c r="F983" s="235"/>
    </row>
    <row r="984" spans="1:13" ht="38.25" x14ac:dyDescent="0.2">
      <c r="A984" s="234"/>
      <c r="B984" s="26" t="s">
        <v>789</v>
      </c>
      <c r="C984" s="25"/>
      <c r="D984" s="29">
        <f>2*(2.36+4.98+3.78+3.78+3.78+3.79+4+4+4.72+4+2.28+0.2*(2.7*5+1.3*4+0.7*3+1.9+2.73*3))</f>
        <v>95.295999999999992</v>
      </c>
      <c r="E984" s="25"/>
      <c r="F984" s="235"/>
    </row>
    <row r="985" spans="1:13" x14ac:dyDescent="0.2">
      <c r="A985" s="234"/>
      <c r="B985" s="66"/>
      <c r="C985" s="25"/>
      <c r="D985" s="29"/>
      <c r="E985" s="25"/>
      <c r="F985" s="235"/>
    </row>
    <row r="986" spans="1:13" x14ac:dyDescent="0.2">
      <c r="A986" s="234"/>
      <c r="B986" s="66" t="s">
        <v>776</v>
      </c>
      <c r="C986" s="25"/>
      <c r="D986" s="29"/>
      <c r="E986" s="25"/>
      <c r="F986" s="235"/>
    </row>
    <row r="987" spans="1:13" ht="38.25" x14ac:dyDescent="0.2">
      <c r="A987" s="234"/>
      <c r="B987" s="66" t="s">
        <v>843</v>
      </c>
      <c r="C987" s="25"/>
      <c r="D987" s="92">
        <f>2.25+4.45+3.78*4+4*2+4.57+1.8+2.06+0.2*(2.66+0.6+0.2+1.98+2.9*6+3.03+1.83+0.6+0.2+1.98*3+1.23*3)</f>
        <v>45.876000000000005</v>
      </c>
      <c r="E987" s="25"/>
      <c r="F987" s="235"/>
    </row>
    <row r="988" spans="1:13" x14ac:dyDescent="0.2">
      <c r="A988" s="234"/>
      <c r="B988" s="81"/>
      <c r="C988" s="25"/>
      <c r="D988" s="65"/>
      <c r="E988" s="25"/>
      <c r="F988" s="235"/>
    </row>
    <row r="989" spans="1:13" x14ac:dyDescent="0.2">
      <c r="A989" s="339"/>
      <c r="B989" s="376" t="s">
        <v>1643</v>
      </c>
      <c r="C989" s="363" t="s">
        <v>39</v>
      </c>
      <c r="D989" s="342">
        <f>SUM(D977:D988)</f>
        <v>230.22199999999998</v>
      </c>
      <c r="E989" s="359"/>
      <c r="F989" s="377">
        <f>+D989*E989</f>
        <v>0</v>
      </c>
      <c r="G989" s="10"/>
    </row>
    <row r="990" spans="1:13" x14ac:dyDescent="0.2">
      <c r="A990" s="234"/>
      <c r="B990" s="16"/>
      <c r="C990" s="62"/>
      <c r="D990" s="29"/>
      <c r="E990" s="23"/>
      <c r="F990" s="255"/>
      <c r="G990" s="98"/>
    </row>
    <row r="991" spans="1:13" ht="103.5" customHeight="1" x14ac:dyDescent="0.2">
      <c r="A991" s="234" t="s">
        <v>2</v>
      </c>
      <c r="B991" s="166" t="s">
        <v>1014</v>
      </c>
      <c r="C991" s="62"/>
      <c r="D991" s="29"/>
      <c r="E991" s="23"/>
      <c r="F991" s="255"/>
      <c r="G991" s="224"/>
      <c r="H991" s="81"/>
      <c r="I991" s="92"/>
      <c r="J991" s="98"/>
      <c r="K991" s="105"/>
      <c r="L991" s="74"/>
      <c r="M991" s="74"/>
    </row>
    <row r="992" spans="1:13" ht="76.5" x14ac:dyDescent="0.2">
      <c r="A992" s="234"/>
      <c r="B992" s="1" t="s">
        <v>420</v>
      </c>
      <c r="C992" s="62"/>
      <c r="D992" s="29"/>
      <c r="E992" s="23"/>
      <c r="F992" s="255"/>
      <c r="G992" s="98"/>
      <c r="H992" s="81"/>
      <c r="I992" s="92"/>
      <c r="J992" s="98"/>
      <c r="K992" s="105"/>
      <c r="L992" s="74"/>
      <c r="M992" s="74"/>
    </row>
    <row r="993" spans="1:13" ht="63.75" x14ac:dyDescent="0.2">
      <c r="A993" s="234"/>
      <c r="B993" s="1" t="s">
        <v>421</v>
      </c>
      <c r="C993" s="62"/>
      <c r="D993" s="29"/>
      <c r="E993" s="23"/>
      <c r="F993" s="255"/>
      <c r="G993" s="98"/>
      <c r="H993" s="133"/>
      <c r="I993" s="92"/>
      <c r="J993" s="98"/>
      <c r="K993" s="105"/>
      <c r="L993" s="74"/>
      <c r="M993" s="74"/>
    </row>
    <row r="994" spans="1:13" ht="114.75" x14ac:dyDescent="0.2">
      <c r="A994" s="234"/>
      <c r="B994" s="81" t="s">
        <v>422</v>
      </c>
      <c r="C994" s="62"/>
      <c r="D994" s="29"/>
      <c r="E994" s="23"/>
      <c r="F994" s="255"/>
      <c r="G994" s="98"/>
      <c r="H994" s="74"/>
      <c r="I994" s="92"/>
      <c r="J994" s="98"/>
      <c r="K994" s="105"/>
      <c r="L994" s="74"/>
      <c r="M994" s="74"/>
    </row>
    <row r="995" spans="1:13" s="74" customFormat="1" ht="76.5" x14ac:dyDescent="0.2">
      <c r="A995" s="234"/>
      <c r="B995" s="81" t="s">
        <v>423</v>
      </c>
      <c r="C995" s="62"/>
      <c r="D995" s="29"/>
      <c r="E995" s="23"/>
      <c r="F995" s="255"/>
      <c r="G995" s="98"/>
      <c r="H995" s="81"/>
      <c r="I995" s="92"/>
      <c r="J995" s="98"/>
      <c r="K995" s="105"/>
    </row>
    <row r="996" spans="1:13" s="74" customFormat="1" x14ac:dyDescent="0.2">
      <c r="A996" s="234"/>
      <c r="B996" s="265" t="s">
        <v>424</v>
      </c>
      <c r="C996" s="62"/>
      <c r="D996" s="29"/>
      <c r="E996" s="23"/>
      <c r="F996" s="255"/>
      <c r="G996" s="98"/>
      <c r="H996" s="80"/>
      <c r="I996" s="92"/>
      <c r="J996" s="98"/>
      <c r="K996" s="105"/>
    </row>
    <row r="997" spans="1:13" ht="89.25" x14ac:dyDescent="0.2">
      <c r="A997" s="234"/>
      <c r="B997" s="266" t="s">
        <v>425</v>
      </c>
      <c r="C997" s="62"/>
      <c r="D997" s="29"/>
      <c r="E997" s="23"/>
      <c r="F997" s="255"/>
      <c r="G997" s="98"/>
      <c r="H997" s="90"/>
      <c r="I997" s="92"/>
      <c r="J997" s="98"/>
      <c r="K997" s="105"/>
      <c r="L997" s="74"/>
      <c r="M997" s="74"/>
    </row>
    <row r="998" spans="1:13" ht="51" x14ac:dyDescent="0.2">
      <c r="A998" s="234"/>
      <c r="B998" s="1" t="s">
        <v>426</v>
      </c>
      <c r="C998" s="62"/>
      <c r="D998" s="29"/>
      <c r="E998" s="23"/>
      <c r="F998" s="255"/>
      <c r="G998" s="98"/>
      <c r="H998" s="90"/>
      <c r="I998" s="92"/>
      <c r="J998" s="98"/>
      <c r="K998" s="105"/>
      <c r="L998" s="74"/>
      <c r="M998" s="74"/>
    </row>
    <row r="999" spans="1:13" ht="77.25" customHeight="1" x14ac:dyDescent="0.2">
      <c r="A999" s="339"/>
      <c r="B999" s="378" t="s">
        <v>427</v>
      </c>
      <c r="C999" s="341"/>
      <c r="D999" s="342"/>
      <c r="E999" s="366"/>
      <c r="F999" s="373"/>
      <c r="G999" s="98"/>
      <c r="H999" s="90"/>
      <c r="I999" s="92"/>
      <c r="J999" s="98"/>
      <c r="K999" s="105"/>
      <c r="L999" s="74"/>
      <c r="M999" s="74"/>
    </row>
    <row r="1000" spans="1:13" ht="12.75" customHeight="1" x14ac:dyDescent="0.2">
      <c r="A1000" s="234"/>
      <c r="B1000" s="81"/>
      <c r="C1000" s="62"/>
      <c r="D1000" s="29"/>
      <c r="E1000" s="23"/>
      <c r="F1000" s="255"/>
      <c r="G1000" s="98"/>
      <c r="H1000" s="90"/>
      <c r="I1000" s="92"/>
      <c r="J1000" s="98"/>
      <c r="K1000" s="105"/>
      <c r="L1000" s="74"/>
      <c r="M1000" s="74"/>
    </row>
    <row r="1001" spans="1:13" ht="76.5" x14ac:dyDescent="0.2">
      <c r="A1001" s="234"/>
      <c r="B1001" s="81" t="s">
        <v>428</v>
      </c>
      <c r="C1001" s="62"/>
      <c r="D1001" s="29"/>
      <c r="E1001" s="23"/>
      <c r="F1001" s="255"/>
      <c r="G1001" s="98"/>
      <c r="H1001" s="90"/>
      <c r="I1001" s="92"/>
      <c r="J1001" s="98"/>
      <c r="K1001" s="105"/>
      <c r="L1001" s="74"/>
      <c r="M1001" s="74"/>
    </row>
    <row r="1002" spans="1:13" ht="25.5" x14ac:dyDescent="0.2">
      <c r="A1002" s="234"/>
      <c r="B1002" s="1" t="s">
        <v>429</v>
      </c>
      <c r="C1002" s="62"/>
      <c r="D1002" s="29"/>
      <c r="E1002" s="23"/>
      <c r="F1002" s="255"/>
      <c r="G1002" s="98"/>
      <c r="H1002" s="90"/>
      <c r="I1002" s="92"/>
      <c r="J1002" s="98"/>
      <c r="K1002" s="105"/>
      <c r="L1002" s="74"/>
      <c r="M1002" s="74"/>
    </row>
    <row r="1003" spans="1:13" ht="90" customHeight="1" x14ac:dyDescent="0.2">
      <c r="A1003" s="267"/>
      <c r="B1003" s="81" t="s">
        <v>430</v>
      </c>
      <c r="C1003" s="62"/>
      <c r="D1003" s="29"/>
      <c r="E1003" s="23"/>
      <c r="F1003" s="255"/>
      <c r="G1003" s="98"/>
      <c r="H1003" s="74"/>
      <c r="I1003" s="74"/>
      <c r="J1003" s="74"/>
      <c r="K1003" s="11"/>
      <c r="L1003" s="74"/>
      <c r="M1003" s="74"/>
    </row>
    <row r="1004" spans="1:13" ht="76.5" x14ac:dyDescent="0.2">
      <c r="A1004" s="234"/>
      <c r="B1004" s="81" t="s">
        <v>431</v>
      </c>
      <c r="C1004" s="25"/>
      <c r="D1004" s="65"/>
      <c r="E1004" s="25"/>
      <c r="F1004" s="249"/>
      <c r="H1004" s="74"/>
      <c r="I1004" s="81"/>
      <c r="J1004" s="74"/>
      <c r="K1004" s="11"/>
      <c r="L1004" s="74"/>
      <c r="M1004" s="74"/>
    </row>
    <row r="1005" spans="1:13" ht="63.75" x14ac:dyDescent="0.2">
      <c r="A1005" s="234"/>
      <c r="B1005" s="81" t="s">
        <v>432</v>
      </c>
      <c r="C1005" s="25"/>
      <c r="D1005" s="65"/>
      <c r="E1005" s="25"/>
      <c r="F1005" s="249"/>
      <c r="H1005" s="74"/>
      <c r="I1005" s="74"/>
      <c r="J1005" s="74"/>
      <c r="K1005" s="11"/>
      <c r="L1005" s="74"/>
      <c r="M1005" s="74"/>
    </row>
    <row r="1006" spans="1:13" ht="63.75" x14ac:dyDescent="0.2">
      <c r="A1006" s="234"/>
      <c r="B1006" s="74" t="s">
        <v>849</v>
      </c>
      <c r="C1006" s="25"/>
      <c r="D1006" s="65"/>
      <c r="E1006" s="25"/>
      <c r="F1006" s="249"/>
      <c r="H1006" s="74"/>
      <c r="I1006" s="74"/>
      <c r="J1006" s="74"/>
      <c r="K1006" s="11"/>
      <c r="L1006" s="74"/>
      <c r="M1006" s="74"/>
    </row>
    <row r="1007" spans="1:13" ht="103.5" customHeight="1" x14ac:dyDescent="0.2">
      <c r="A1007" s="234"/>
      <c r="B1007" s="81" t="s">
        <v>436</v>
      </c>
      <c r="C1007" s="25"/>
      <c r="D1007" s="29"/>
      <c r="E1007" s="25"/>
      <c r="F1007" s="249"/>
      <c r="H1007" s="74"/>
      <c r="I1007" s="75"/>
      <c r="J1007" s="74"/>
      <c r="K1007" s="11"/>
      <c r="L1007" s="74"/>
      <c r="M1007" s="74"/>
    </row>
    <row r="1008" spans="1:13" ht="38.25" x14ac:dyDescent="0.2">
      <c r="A1008" s="234"/>
      <c r="B1008" s="81" t="s">
        <v>437</v>
      </c>
      <c r="C1008" s="25"/>
      <c r="D1008" s="29"/>
      <c r="E1008" s="30"/>
      <c r="F1008" s="249">
        <f>D1008*E1008</f>
        <v>0</v>
      </c>
      <c r="G1008" s="89"/>
      <c r="H1008" s="74"/>
      <c r="I1008" s="75"/>
      <c r="J1008" s="74"/>
      <c r="K1008" s="11"/>
      <c r="L1008" s="74"/>
      <c r="M1008" s="74"/>
    </row>
    <row r="1009" spans="1:13" s="74" customFormat="1" ht="51" x14ac:dyDescent="0.2">
      <c r="A1009" s="234"/>
      <c r="B1009" s="33" t="s">
        <v>221</v>
      </c>
      <c r="C1009" s="25"/>
      <c r="D1009" s="29"/>
      <c r="E1009" s="30"/>
      <c r="F1009" s="249"/>
      <c r="G1009" s="89"/>
      <c r="I1009" s="75"/>
      <c r="K1009" s="11"/>
    </row>
    <row r="1010" spans="1:13" s="74" customFormat="1" ht="51" x14ac:dyDescent="0.2">
      <c r="A1010" s="234"/>
      <c r="B1010" s="33" t="s">
        <v>1015</v>
      </c>
      <c r="C1010" s="25"/>
      <c r="D1010" s="29"/>
      <c r="E1010" s="30"/>
      <c r="F1010" s="249"/>
      <c r="G1010" s="89"/>
      <c r="I1010" s="75"/>
      <c r="K1010" s="11"/>
    </row>
    <row r="1011" spans="1:13" s="74" customFormat="1" ht="25.5" x14ac:dyDescent="0.2">
      <c r="A1011" s="339"/>
      <c r="B1011" s="378" t="s">
        <v>433</v>
      </c>
      <c r="C1011" s="347"/>
      <c r="D1011" s="342"/>
      <c r="E1011" s="359"/>
      <c r="F1011" s="344"/>
      <c r="G1011" s="89"/>
      <c r="I1011" s="75"/>
      <c r="K1011" s="11"/>
    </row>
    <row r="1012" spans="1:13" s="74" customFormat="1" x14ac:dyDescent="0.2">
      <c r="A1012" s="234"/>
      <c r="B1012" s="81"/>
      <c r="C1012" s="25"/>
      <c r="D1012" s="29"/>
      <c r="E1012" s="30"/>
      <c r="F1012" s="249"/>
      <c r="G1012" s="89"/>
      <c r="I1012" s="75"/>
      <c r="K1012" s="11"/>
    </row>
    <row r="1013" spans="1:13" s="74" customFormat="1" ht="115.5" customHeight="1" x14ac:dyDescent="0.2">
      <c r="A1013" s="234"/>
      <c r="B1013" s="81" t="s">
        <v>434</v>
      </c>
      <c r="C1013" s="25"/>
      <c r="D1013" s="29"/>
      <c r="E1013" s="30"/>
      <c r="F1013" s="249"/>
      <c r="G1013" s="89"/>
      <c r="I1013" s="75"/>
      <c r="K1013" s="11"/>
    </row>
    <row r="1014" spans="1:13" s="74" customFormat="1" ht="63.75" x14ac:dyDescent="0.2">
      <c r="A1014" s="234"/>
      <c r="B1014" s="74" t="s">
        <v>435</v>
      </c>
      <c r="C1014" s="25"/>
      <c r="D1014" s="29"/>
      <c r="E1014" s="30"/>
      <c r="F1014" s="249"/>
      <c r="G1014" s="89"/>
      <c r="I1014" s="75"/>
      <c r="K1014" s="11"/>
    </row>
    <row r="1015" spans="1:13" s="74" customFormat="1" ht="25.5" x14ac:dyDescent="0.2">
      <c r="A1015" s="234"/>
      <c r="B1015" s="33" t="s">
        <v>438</v>
      </c>
      <c r="C1015" s="25"/>
      <c r="D1015" s="29"/>
      <c r="E1015" s="30"/>
      <c r="F1015" s="249"/>
      <c r="G1015" s="89"/>
      <c r="H1015" s="78"/>
      <c r="I1015" s="75"/>
      <c r="J1015" s="89"/>
      <c r="K1015" s="11"/>
      <c r="L1015" s="93"/>
    </row>
    <row r="1016" spans="1:13" s="74" customFormat="1" x14ac:dyDescent="0.2">
      <c r="A1016" s="234"/>
      <c r="B1016" s="20"/>
      <c r="C1016" s="17"/>
      <c r="D1016" s="29"/>
      <c r="E1016" s="30"/>
      <c r="F1016" s="249"/>
      <c r="G1016" s="89"/>
      <c r="H1016" s="196"/>
      <c r="I1016" s="75"/>
      <c r="J1016" s="89"/>
      <c r="K1016" s="11"/>
    </row>
    <row r="1017" spans="1:13" s="74" customFormat="1" x14ac:dyDescent="0.2">
      <c r="A1017" s="247" t="s">
        <v>277</v>
      </c>
      <c r="B1017" s="21" t="s">
        <v>439</v>
      </c>
      <c r="C1017" s="25"/>
      <c r="D1017" s="29"/>
      <c r="E1017" s="30"/>
      <c r="F1017" s="249"/>
      <c r="G1017" s="89"/>
      <c r="H1017" s="90"/>
      <c r="I1017" s="92"/>
      <c r="J1017" s="98"/>
      <c r="K1017" s="105"/>
    </row>
    <row r="1018" spans="1:13" x14ac:dyDescent="0.2">
      <c r="A1018" s="267"/>
      <c r="B1018" s="20" t="s">
        <v>144</v>
      </c>
      <c r="C1018" s="62"/>
      <c r="D1018" s="29"/>
      <c r="E1018" s="23"/>
      <c r="F1018" s="255"/>
      <c r="G1018" s="98"/>
      <c r="H1018" s="90"/>
      <c r="I1018" s="92"/>
      <c r="J1018" s="98"/>
      <c r="K1018" s="105"/>
      <c r="L1018" s="74"/>
      <c r="M1018" s="74"/>
    </row>
    <row r="1019" spans="1:13" x14ac:dyDescent="0.2">
      <c r="A1019" s="234"/>
      <c r="B1019" s="12" t="s">
        <v>850</v>
      </c>
      <c r="C1019" s="25"/>
      <c r="D1019" s="65"/>
      <c r="E1019" s="25"/>
      <c r="F1019" s="249"/>
      <c r="H1019" s="90"/>
      <c r="I1019" s="92"/>
      <c r="J1019" s="98"/>
      <c r="K1019" s="105"/>
      <c r="L1019" s="74"/>
      <c r="M1019" s="74"/>
    </row>
    <row r="1020" spans="1:13" x14ac:dyDescent="0.2">
      <c r="A1020" s="234"/>
      <c r="B1020" s="12"/>
      <c r="C1020" s="25"/>
      <c r="D1020" s="65"/>
      <c r="E1020" s="25"/>
      <c r="F1020" s="249"/>
      <c r="H1020" s="90"/>
      <c r="I1020" s="92"/>
      <c r="J1020" s="98"/>
      <c r="K1020" s="105"/>
      <c r="L1020" s="74"/>
      <c r="M1020" s="74"/>
    </row>
    <row r="1021" spans="1:13" x14ac:dyDescent="0.2">
      <c r="A1021" s="234"/>
      <c r="B1021" s="26" t="s">
        <v>28</v>
      </c>
      <c r="C1021" s="25"/>
      <c r="D1021" s="217"/>
      <c r="E1021" s="25"/>
      <c r="F1021" s="249"/>
      <c r="H1021" s="74"/>
      <c r="I1021" s="74"/>
      <c r="J1021" s="74"/>
      <c r="K1021" s="11"/>
      <c r="L1021" s="74"/>
      <c r="M1021" s="74"/>
    </row>
    <row r="1022" spans="1:13" ht="127.5" x14ac:dyDescent="0.2">
      <c r="A1022" s="234"/>
      <c r="B1022" s="26" t="s">
        <v>845</v>
      </c>
      <c r="C1022" s="25"/>
      <c r="D1022" s="29">
        <f>2.8*(13.47+8.35+5.01+1.45+2.76+5.1+1.4*2+6.24+6.04+13.54+3.22+22.85+1.3+6.92+8.26+3.23+6.53+3.3+12.73+1.83+2.95)-(1*1.6+2.7*2.4*5+0.9*2.4*4+2.1*1.6+1*1.6+1*0.6+1.8*1.6*2+1*1.6+1.8*1.6+1*1.6+1.6*2.4+1*1.6+1.8*1.6+0.9*2.4+1.8*1.6*2+1*0.6+1*1.6+2.1*1.6+1*1.6+1.8*1.6+1*1.6+1*2+1*1.6*3+1.55*2+2.95*2.67)</f>
        <v>280.36750000000001</v>
      </c>
      <c r="E1022" s="25"/>
      <c r="F1022" s="249"/>
      <c r="H1022" s="74"/>
      <c r="I1022" s="74"/>
      <c r="J1022" s="74"/>
      <c r="K1022" s="11"/>
      <c r="L1022" s="74"/>
      <c r="M1022" s="74"/>
    </row>
    <row r="1023" spans="1:13" x14ac:dyDescent="0.2">
      <c r="A1023" s="234"/>
      <c r="B1023" s="26"/>
      <c r="C1023" s="25"/>
      <c r="D1023" s="217"/>
      <c r="E1023" s="25"/>
      <c r="F1023" s="249"/>
      <c r="H1023" s="74"/>
      <c r="I1023" s="74"/>
      <c r="J1023" s="74"/>
      <c r="K1023" s="11"/>
      <c r="L1023" s="74"/>
      <c r="M1023" s="74"/>
    </row>
    <row r="1024" spans="1:13" x14ac:dyDescent="0.2">
      <c r="A1024" s="234"/>
      <c r="B1024" s="26" t="s">
        <v>846</v>
      </c>
      <c r="C1024" s="25"/>
      <c r="D1024" s="217"/>
      <c r="E1024" s="25"/>
      <c r="F1024" s="249"/>
      <c r="H1024" s="74"/>
      <c r="I1024" s="74"/>
      <c r="J1024" s="74"/>
      <c r="K1024" s="11"/>
      <c r="L1024" s="74"/>
      <c r="M1024" s="74"/>
    </row>
    <row r="1025" spans="1:13" ht="89.25" x14ac:dyDescent="0.2">
      <c r="A1025" s="234"/>
      <c r="B1025" s="26" t="s">
        <v>847</v>
      </c>
      <c r="C1025" s="25"/>
      <c r="D1025" s="29">
        <f>3*2.8*(30.57+1.9*2+13.47+15.8+1.42*2+19.25+1.42*2+13.54+26.02+1.42+6.85)-3*(1*1.6*11+2.7*2.4*6+0.9*2.4*4+2.1*1.6+1*0.6*2+1.8*1.6*7+0.9*2.4*4+2.1*1.6+1.6*2.4+0.9*2.4+2.1*1.6+1*2+1.55*2)</f>
        <v>796.85999999999979</v>
      </c>
      <c r="E1025" s="25"/>
      <c r="F1025" s="249"/>
      <c r="H1025" s="74"/>
      <c r="I1025" s="74"/>
      <c r="J1025" s="74"/>
      <c r="K1025" s="11"/>
      <c r="L1025" s="74"/>
      <c r="M1025" s="74"/>
    </row>
    <row r="1026" spans="1:13" x14ac:dyDescent="0.2">
      <c r="A1026" s="234"/>
      <c r="B1026" s="26"/>
      <c r="C1026" s="25"/>
      <c r="D1026" s="217"/>
      <c r="E1026" s="25"/>
      <c r="F1026" s="249"/>
      <c r="H1026" s="74"/>
      <c r="I1026" s="74"/>
      <c r="J1026" s="74"/>
      <c r="K1026" s="11"/>
      <c r="L1026" s="74"/>
      <c r="M1026" s="74"/>
    </row>
    <row r="1027" spans="1:13" x14ac:dyDescent="0.2">
      <c r="A1027" s="234"/>
      <c r="B1027" s="26" t="s">
        <v>278</v>
      </c>
      <c r="C1027" s="17" t="s">
        <v>39</v>
      </c>
      <c r="D1027" s="65">
        <f>SUM(D1019:D1026)</f>
        <v>1077.2274999999997</v>
      </c>
      <c r="E1027" s="20"/>
      <c r="F1027" s="249">
        <f>D1027*E1027</f>
        <v>0</v>
      </c>
      <c r="G1027" s="89"/>
      <c r="H1027" s="74"/>
      <c r="I1027" s="75"/>
      <c r="J1027" s="74"/>
      <c r="K1027" s="11"/>
      <c r="L1027" s="74"/>
      <c r="M1027" s="74"/>
    </row>
    <row r="1028" spans="1:13" s="74" customFormat="1" x14ac:dyDescent="0.2">
      <c r="A1028" s="234"/>
      <c r="B1028" s="25"/>
      <c r="C1028" s="27"/>
      <c r="D1028" s="29"/>
      <c r="E1028" s="30"/>
      <c r="F1028" s="249"/>
      <c r="G1028" s="89"/>
      <c r="H1028" s="78"/>
      <c r="I1028" s="75"/>
      <c r="J1028" s="89"/>
      <c r="K1028" s="11"/>
    </row>
    <row r="1029" spans="1:13" s="74" customFormat="1" x14ac:dyDescent="0.2">
      <c r="A1029" s="251" t="s">
        <v>279</v>
      </c>
      <c r="B1029" s="21" t="s">
        <v>440</v>
      </c>
      <c r="C1029" s="17"/>
      <c r="D1029" s="29"/>
      <c r="E1029" s="23"/>
      <c r="F1029" s="249"/>
      <c r="G1029" s="89"/>
      <c r="H1029" s="78"/>
      <c r="I1029" s="75"/>
      <c r="J1029" s="89"/>
      <c r="K1029" s="11"/>
    </row>
    <row r="1030" spans="1:13" s="74" customFormat="1" x14ac:dyDescent="0.2">
      <c r="A1030" s="247"/>
      <c r="B1030" s="20" t="s">
        <v>441</v>
      </c>
      <c r="C1030" s="17"/>
      <c r="D1030" s="29"/>
      <c r="E1030" s="23"/>
      <c r="F1030" s="249"/>
      <c r="G1030" s="89"/>
      <c r="H1030" s="78"/>
      <c r="I1030" s="75"/>
      <c r="J1030" s="89"/>
      <c r="K1030" s="11"/>
    </row>
    <row r="1031" spans="1:13" s="74" customFormat="1" x14ac:dyDescent="0.2">
      <c r="A1031" s="247"/>
      <c r="B1031" s="20" t="s">
        <v>846</v>
      </c>
      <c r="C1031" s="17"/>
      <c r="D1031" s="29"/>
      <c r="E1031" s="23"/>
      <c r="F1031" s="249"/>
      <c r="G1031" s="89"/>
      <c r="H1031" s="78"/>
      <c r="I1031" s="75"/>
      <c r="J1031" s="89"/>
      <c r="K1031" s="11"/>
    </row>
    <row r="1032" spans="1:13" s="74" customFormat="1" x14ac:dyDescent="0.2">
      <c r="A1032" s="379"/>
      <c r="B1032" s="380" t="s">
        <v>893</v>
      </c>
      <c r="C1032" s="363" t="s">
        <v>39</v>
      </c>
      <c r="D1032" s="371">
        <f>1*2.3*3*2+1.8*1.55*2+1*1.55*2</f>
        <v>22.48</v>
      </c>
      <c r="E1032" s="352"/>
      <c r="F1032" s="344">
        <f>D1032*E1032</f>
        <v>0</v>
      </c>
      <c r="G1032" s="89"/>
      <c r="H1032" s="78"/>
      <c r="I1032" s="75"/>
      <c r="J1032" s="89"/>
      <c r="K1032" s="11"/>
    </row>
    <row r="1033" spans="1:13" s="74" customFormat="1" x14ac:dyDescent="0.2">
      <c r="A1033" s="234"/>
      <c r="B1033" s="25"/>
      <c r="C1033" s="27"/>
      <c r="D1033" s="52"/>
      <c r="E1033" s="30"/>
      <c r="F1033" s="249"/>
      <c r="G1033" s="89"/>
      <c r="H1033" s="78"/>
      <c r="I1033" s="75"/>
      <c r="J1033" s="89"/>
      <c r="K1033" s="11"/>
    </row>
    <row r="1034" spans="1:13" s="74" customFormat="1" ht="29.25" customHeight="1" x14ac:dyDescent="0.2">
      <c r="A1034" s="247" t="s">
        <v>1644</v>
      </c>
      <c r="B1034" s="20" t="s">
        <v>1016</v>
      </c>
      <c r="C1034" s="27"/>
      <c r="D1034" s="52"/>
      <c r="E1034" s="30"/>
      <c r="F1034" s="249"/>
      <c r="G1034" s="89"/>
      <c r="I1034" s="75"/>
      <c r="J1034" s="89"/>
      <c r="K1034" s="11"/>
    </row>
    <row r="1035" spans="1:13" s="74" customFormat="1" x14ac:dyDescent="0.2">
      <c r="A1035" s="247"/>
      <c r="B1035" s="20"/>
      <c r="C1035" s="27"/>
      <c r="D1035" s="52"/>
      <c r="E1035" s="30"/>
      <c r="F1035" s="249"/>
      <c r="G1035" s="89"/>
      <c r="I1035" s="75"/>
      <c r="J1035" s="89"/>
      <c r="K1035" s="11"/>
    </row>
    <row r="1036" spans="1:13" s="74" customFormat="1" x14ac:dyDescent="0.2">
      <c r="A1036" s="234"/>
      <c r="B1036" s="24" t="s">
        <v>28</v>
      </c>
      <c r="C1036" s="27"/>
      <c r="D1036" s="52"/>
      <c r="E1036" s="30"/>
      <c r="F1036" s="249"/>
      <c r="G1036" s="89"/>
      <c r="I1036" s="75"/>
      <c r="J1036" s="89"/>
      <c r="K1036" s="11"/>
    </row>
    <row r="1037" spans="1:13" s="74" customFormat="1" ht="25.5" x14ac:dyDescent="0.2">
      <c r="A1037" s="234"/>
      <c r="B1037" s="24" t="s">
        <v>1017</v>
      </c>
      <c r="C1037" s="27"/>
      <c r="D1037" s="52">
        <f>0.2*(2.1*2+0.9*4+2.7*5+1*13+1.8*8)</f>
        <v>9.74</v>
      </c>
      <c r="E1037" s="30"/>
      <c r="F1037" s="249"/>
      <c r="G1037" s="89"/>
      <c r="I1037" s="75"/>
      <c r="J1037" s="89"/>
      <c r="K1037" s="11"/>
    </row>
    <row r="1038" spans="1:13" s="74" customFormat="1" x14ac:dyDescent="0.2">
      <c r="A1038" s="234"/>
      <c r="B1038" s="24"/>
      <c r="C1038" s="27"/>
      <c r="D1038" s="52"/>
      <c r="E1038" s="30"/>
      <c r="F1038" s="249"/>
      <c r="G1038" s="89"/>
      <c r="I1038" s="75"/>
      <c r="J1038" s="89"/>
      <c r="K1038" s="11"/>
    </row>
    <row r="1039" spans="1:13" s="74" customFormat="1" x14ac:dyDescent="0.2">
      <c r="A1039" s="234"/>
      <c r="B1039" s="24" t="s">
        <v>836</v>
      </c>
      <c r="C1039" s="27"/>
      <c r="D1039" s="52"/>
      <c r="E1039" s="30"/>
      <c r="F1039" s="249"/>
      <c r="G1039" s="89"/>
      <c r="I1039" s="75"/>
      <c r="J1039" s="89"/>
      <c r="K1039" s="11"/>
    </row>
    <row r="1040" spans="1:13" s="74" customFormat="1" ht="25.5" x14ac:dyDescent="0.2">
      <c r="A1040" s="234"/>
      <c r="B1040" s="24" t="s">
        <v>1018</v>
      </c>
      <c r="C1040" s="27"/>
      <c r="D1040" s="52">
        <f>4*0.2*(2.1*2+0.9*4+2.7*6+1*14+1.8*8)</f>
        <v>41.92</v>
      </c>
      <c r="E1040" s="30"/>
      <c r="F1040" s="249"/>
      <c r="G1040" s="89"/>
      <c r="H1040" s="24"/>
      <c r="I1040" s="75"/>
      <c r="J1040" s="89"/>
      <c r="K1040" s="11"/>
    </row>
    <row r="1041" spans="1:11" s="74" customFormat="1" x14ac:dyDescent="0.2">
      <c r="A1041" s="234"/>
      <c r="B1041" s="25"/>
      <c r="C1041" s="27"/>
      <c r="D1041" s="52"/>
      <c r="E1041" s="30"/>
      <c r="F1041" s="249"/>
      <c r="G1041" s="89"/>
      <c r="H1041" s="24"/>
      <c r="I1041" s="75"/>
      <c r="J1041" s="89"/>
      <c r="K1041" s="11"/>
    </row>
    <row r="1042" spans="1:11" s="74" customFormat="1" x14ac:dyDescent="0.2">
      <c r="A1042" s="234"/>
      <c r="B1042" s="24" t="s">
        <v>1646</v>
      </c>
      <c r="C1042" s="17" t="s">
        <v>39</v>
      </c>
      <c r="D1042" s="52">
        <f>SUM(D1037:D1041)</f>
        <v>51.660000000000004</v>
      </c>
      <c r="E1042" s="20"/>
      <c r="F1042" s="249">
        <f>D1042*E1042</f>
        <v>0</v>
      </c>
      <c r="G1042" s="89"/>
      <c r="H1042" s="24"/>
      <c r="I1042" s="75"/>
      <c r="J1042" s="89"/>
      <c r="K1042" s="11"/>
    </row>
    <row r="1043" spans="1:11" s="74" customFormat="1" x14ac:dyDescent="0.2">
      <c r="A1043" s="234"/>
      <c r="B1043" s="25"/>
      <c r="C1043" s="27"/>
      <c r="D1043" s="52"/>
      <c r="E1043" s="30"/>
      <c r="F1043" s="249"/>
      <c r="G1043" s="89"/>
      <c r="H1043" s="24"/>
      <c r="I1043" s="75"/>
      <c r="J1043" s="89"/>
      <c r="K1043" s="11"/>
    </row>
    <row r="1044" spans="1:11" s="74" customFormat="1" x14ac:dyDescent="0.2">
      <c r="A1044" s="251" t="s">
        <v>1645</v>
      </c>
      <c r="B1044" s="21" t="s">
        <v>442</v>
      </c>
      <c r="C1044" s="17"/>
      <c r="D1044" s="29"/>
      <c r="E1044" s="23"/>
      <c r="F1044" s="249"/>
      <c r="G1044" s="89"/>
      <c r="I1044" s="75"/>
      <c r="J1044" s="89"/>
      <c r="K1044" s="11"/>
    </row>
    <row r="1045" spans="1:11" s="74" customFormat="1" ht="25.5" x14ac:dyDescent="0.2">
      <c r="A1045" s="247"/>
      <c r="B1045" s="20" t="s">
        <v>861</v>
      </c>
      <c r="C1045" s="17"/>
      <c r="D1045" s="29"/>
      <c r="E1045" s="23"/>
      <c r="F1045" s="249"/>
      <c r="G1045" s="89"/>
      <c r="H1045" s="78"/>
      <c r="I1045" s="75"/>
      <c r="J1045" s="89"/>
      <c r="K1045" s="11"/>
    </row>
    <row r="1046" spans="1:11" s="74" customFormat="1" x14ac:dyDescent="0.2">
      <c r="A1046" s="247"/>
      <c r="B1046" s="20" t="s">
        <v>862</v>
      </c>
      <c r="C1046" s="17"/>
      <c r="D1046" s="29"/>
      <c r="E1046" s="23"/>
      <c r="F1046" s="249"/>
      <c r="G1046" s="89"/>
      <c r="H1046" s="78"/>
      <c r="I1046" s="75"/>
      <c r="J1046" s="89"/>
      <c r="K1046" s="11"/>
    </row>
    <row r="1047" spans="1:11" s="74" customFormat="1" ht="25.5" x14ac:dyDescent="0.2">
      <c r="A1047" s="247"/>
      <c r="B1047" s="24" t="s">
        <v>855</v>
      </c>
      <c r="C1047" s="17" t="s">
        <v>39</v>
      </c>
      <c r="D1047" s="52">
        <f>2.8*5*(0.8*2+0.3*2+1.25*2+0.35+0.8*2+0.3*2)</f>
        <v>101.5</v>
      </c>
      <c r="E1047" s="20"/>
      <c r="F1047" s="249">
        <f>D1047*E1047</f>
        <v>0</v>
      </c>
      <c r="G1047" s="89"/>
      <c r="H1047" s="78"/>
      <c r="I1047" s="75"/>
      <c r="J1047" s="89"/>
      <c r="K1047" s="11"/>
    </row>
    <row r="1048" spans="1:11" s="74" customFormat="1" x14ac:dyDescent="0.2">
      <c r="A1048" s="247"/>
      <c r="B1048" s="24"/>
      <c r="C1048" s="17"/>
      <c r="D1048" s="29"/>
      <c r="E1048" s="20"/>
      <c r="F1048" s="249"/>
      <c r="G1048" s="89"/>
      <c r="H1048" s="78"/>
      <c r="I1048" s="75"/>
      <c r="J1048" s="89"/>
      <c r="K1048" s="11"/>
    </row>
    <row r="1049" spans="1:11" s="81" customFormat="1" ht="25.5" x14ac:dyDescent="0.2">
      <c r="A1049" s="247" t="s">
        <v>1647</v>
      </c>
      <c r="B1049" s="20" t="s">
        <v>1516</v>
      </c>
      <c r="C1049" s="17"/>
      <c r="D1049" s="29"/>
      <c r="E1049" s="23"/>
      <c r="F1049" s="249"/>
      <c r="G1049" s="10"/>
      <c r="H1049" s="78"/>
      <c r="I1049" s="75"/>
      <c r="J1049" s="10"/>
      <c r="K1049" s="11"/>
    </row>
    <row r="1050" spans="1:11" s="81" customFormat="1" x14ac:dyDescent="0.2">
      <c r="A1050" s="251"/>
      <c r="B1050" s="20"/>
      <c r="C1050" s="17"/>
      <c r="D1050" s="29"/>
      <c r="E1050" s="23"/>
      <c r="F1050" s="249"/>
      <c r="G1050" s="10"/>
      <c r="H1050" s="78"/>
      <c r="I1050" s="75"/>
      <c r="J1050" s="10"/>
      <c r="K1050" s="11"/>
    </row>
    <row r="1051" spans="1:11" s="81" customFormat="1" x14ac:dyDescent="0.2">
      <c r="A1051" s="251"/>
      <c r="B1051" s="20" t="s">
        <v>28</v>
      </c>
      <c r="C1051" s="17"/>
      <c r="D1051" s="29"/>
      <c r="E1051" s="23"/>
      <c r="F1051" s="249"/>
      <c r="G1051" s="10"/>
      <c r="H1051" s="78"/>
      <c r="I1051" s="75"/>
      <c r="J1051" s="10"/>
      <c r="K1051" s="11"/>
    </row>
    <row r="1052" spans="1:11" s="81" customFormat="1" ht="25.5" x14ac:dyDescent="0.2">
      <c r="A1052" s="251"/>
      <c r="B1052" s="20" t="s">
        <v>1120</v>
      </c>
      <c r="C1052" s="17"/>
      <c r="D1052" s="29">
        <f>2*2.73*1.83+1.985*1.3+2.48*1.18+1.64*1.3+2.73*1.4*5</f>
        <v>36.740700000000004</v>
      </c>
      <c r="E1052" s="23"/>
      <c r="F1052" s="249"/>
      <c r="G1052" s="10"/>
      <c r="H1052" s="78"/>
      <c r="I1052" s="75"/>
      <c r="J1052" s="10"/>
      <c r="K1052" s="11"/>
    </row>
    <row r="1053" spans="1:11" s="81" customFormat="1" x14ac:dyDescent="0.2">
      <c r="A1053" s="251"/>
      <c r="B1053" s="20"/>
      <c r="C1053" s="17"/>
      <c r="D1053" s="29"/>
      <c r="E1053" s="23"/>
      <c r="F1053" s="249"/>
      <c r="G1053" s="10"/>
      <c r="H1053" s="78"/>
      <c r="I1053" s="75"/>
      <c r="J1053" s="10"/>
      <c r="K1053" s="11"/>
    </row>
    <row r="1054" spans="1:11" s="81" customFormat="1" x14ac:dyDescent="0.2">
      <c r="A1054" s="251"/>
      <c r="B1054" s="20" t="s">
        <v>746</v>
      </c>
      <c r="C1054" s="17"/>
      <c r="D1054" s="29"/>
      <c r="E1054" s="23"/>
      <c r="F1054" s="249"/>
      <c r="G1054" s="10"/>
      <c r="H1054" s="78"/>
      <c r="I1054" s="75"/>
      <c r="J1054" s="10"/>
      <c r="K1054" s="11"/>
    </row>
    <row r="1055" spans="1:11" s="81" customFormat="1" ht="25.5" x14ac:dyDescent="0.2">
      <c r="A1055" s="251"/>
      <c r="B1055" s="20" t="s">
        <v>1121</v>
      </c>
      <c r="C1055" s="17"/>
      <c r="D1055" s="29">
        <f>2*2.73*1.83+1.985*1.3+2.48*1.18+1.64*1.3+2.73*1.4*6</f>
        <v>40.5627</v>
      </c>
      <c r="E1055" s="23"/>
      <c r="F1055" s="249"/>
      <c r="G1055" s="10"/>
      <c r="H1055" s="78"/>
      <c r="I1055" s="75"/>
      <c r="J1055" s="10"/>
      <c r="K1055" s="11"/>
    </row>
    <row r="1056" spans="1:11" s="81" customFormat="1" x14ac:dyDescent="0.2">
      <c r="A1056" s="251"/>
      <c r="B1056" s="20"/>
      <c r="C1056" s="17"/>
      <c r="D1056" s="29"/>
      <c r="E1056" s="23"/>
      <c r="F1056" s="249"/>
      <c r="G1056" s="10"/>
      <c r="H1056" s="78"/>
      <c r="I1056" s="75"/>
      <c r="J1056" s="10"/>
      <c r="K1056" s="11"/>
    </row>
    <row r="1057" spans="1:11" s="81" customFormat="1" x14ac:dyDescent="0.2">
      <c r="A1057" s="251"/>
      <c r="B1057" s="20" t="s">
        <v>750</v>
      </c>
      <c r="C1057" s="17"/>
      <c r="D1057" s="29"/>
      <c r="E1057" s="23"/>
      <c r="F1057" s="249"/>
      <c r="G1057" s="10"/>
      <c r="H1057" s="78"/>
      <c r="I1057" s="75"/>
      <c r="J1057" s="10"/>
      <c r="K1057" s="11"/>
    </row>
    <row r="1058" spans="1:11" s="81" customFormat="1" ht="25.5" x14ac:dyDescent="0.2">
      <c r="A1058" s="251"/>
      <c r="B1058" s="20" t="s">
        <v>1122</v>
      </c>
      <c r="C1058" s="17"/>
      <c r="D1058" s="29">
        <f>2*(2*2.73*1.83+1.985*1.3+2.48*1.18+1.64*1.3+2.73*1.4*6)</f>
        <v>81.125399999999999</v>
      </c>
      <c r="E1058" s="23"/>
      <c r="F1058" s="249"/>
      <c r="G1058" s="10"/>
      <c r="H1058" s="78"/>
      <c r="I1058" s="75"/>
      <c r="J1058" s="10"/>
      <c r="K1058" s="11"/>
    </row>
    <row r="1059" spans="1:11" s="81" customFormat="1" x14ac:dyDescent="0.2">
      <c r="A1059" s="251"/>
      <c r="B1059" s="20"/>
      <c r="C1059" s="17"/>
      <c r="D1059" s="29"/>
      <c r="E1059" s="23"/>
      <c r="F1059" s="249"/>
      <c r="G1059" s="10"/>
      <c r="H1059" s="78"/>
      <c r="I1059" s="75"/>
      <c r="J1059" s="10"/>
      <c r="K1059" s="11"/>
    </row>
    <row r="1060" spans="1:11" s="81" customFormat="1" x14ac:dyDescent="0.2">
      <c r="A1060" s="251"/>
      <c r="B1060" s="20" t="s">
        <v>776</v>
      </c>
      <c r="C1060" s="17"/>
      <c r="D1060" s="29"/>
      <c r="E1060" s="23"/>
      <c r="F1060" s="249"/>
      <c r="G1060" s="10"/>
      <c r="H1060" s="78"/>
      <c r="I1060" s="75"/>
      <c r="J1060" s="10"/>
      <c r="K1060" s="11"/>
    </row>
    <row r="1061" spans="1:11" s="81" customFormat="1" ht="25.5" x14ac:dyDescent="0.2">
      <c r="A1061" s="251"/>
      <c r="B1061" s="20" t="s">
        <v>1121</v>
      </c>
      <c r="C1061" s="17"/>
      <c r="D1061" s="29">
        <f>2*2.73*1.83+1.985*1.3+2.48*1.18+1.64*1.3+2.73*1.4*6</f>
        <v>40.5627</v>
      </c>
      <c r="E1061" s="23"/>
      <c r="F1061" s="249"/>
      <c r="G1061" s="10"/>
      <c r="H1061" s="78"/>
      <c r="I1061" s="75"/>
      <c r="J1061" s="10"/>
      <c r="K1061" s="11"/>
    </row>
    <row r="1062" spans="1:11" s="81" customFormat="1" x14ac:dyDescent="0.2">
      <c r="A1062" s="251"/>
      <c r="B1062" s="20"/>
      <c r="C1062" s="17"/>
      <c r="D1062" s="29"/>
      <c r="E1062" s="23"/>
      <c r="F1062" s="249"/>
      <c r="G1062" s="10"/>
      <c r="H1062" s="78"/>
      <c r="I1062" s="75"/>
      <c r="J1062" s="10"/>
      <c r="K1062" s="11"/>
    </row>
    <row r="1063" spans="1:11" s="81" customFormat="1" x14ac:dyDescent="0.2">
      <c r="A1063" s="251"/>
      <c r="B1063" s="20" t="s">
        <v>1648</v>
      </c>
      <c r="C1063" s="17" t="s">
        <v>39</v>
      </c>
      <c r="D1063" s="29">
        <f>SUM(D1052:D1062)</f>
        <v>198.99150000000003</v>
      </c>
      <c r="E1063" s="20"/>
      <c r="F1063" s="249">
        <f>D1063*E1063</f>
        <v>0</v>
      </c>
      <c r="G1063" s="10"/>
      <c r="H1063" s="78"/>
      <c r="I1063" s="75"/>
      <c r="J1063" s="10"/>
      <c r="K1063" s="11"/>
    </row>
    <row r="1064" spans="1:11" s="74" customFormat="1" x14ac:dyDescent="0.2">
      <c r="A1064" s="247"/>
      <c r="B1064" s="24"/>
      <c r="C1064" s="17"/>
      <c r="D1064" s="29"/>
      <c r="E1064" s="20"/>
      <c r="F1064" s="249"/>
      <c r="G1064" s="89"/>
      <c r="H1064" s="78"/>
      <c r="I1064" s="75"/>
      <c r="J1064" s="89"/>
      <c r="K1064" s="11"/>
    </row>
    <row r="1065" spans="1:11" ht="38.25" x14ac:dyDescent="0.2">
      <c r="A1065" s="234" t="s">
        <v>3</v>
      </c>
      <c r="B1065" s="139" t="s">
        <v>443</v>
      </c>
      <c r="C1065" s="27"/>
      <c r="D1065" s="29"/>
      <c r="E1065" s="30"/>
      <c r="F1065" s="249"/>
      <c r="G1065" s="89"/>
    </row>
    <row r="1066" spans="1:11" ht="76.5" x14ac:dyDescent="0.2">
      <c r="A1066" s="339"/>
      <c r="B1066" s="352" t="s">
        <v>444</v>
      </c>
      <c r="C1066" s="362"/>
      <c r="D1066" s="342"/>
      <c r="E1066" s="359"/>
      <c r="F1066" s="344"/>
      <c r="G1066" s="89"/>
    </row>
    <row r="1067" spans="1:11" x14ac:dyDescent="0.2">
      <c r="A1067" s="234"/>
      <c r="B1067" s="10"/>
      <c r="C1067" s="27"/>
      <c r="D1067" s="29"/>
      <c r="E1067" s="30"/>
      <c r="F1067" s="249"/>
      <c r="G1067" s="89"/>
    </row>
    <row r="1068" spans="1:11" ht="127.5" x14ac:dyDescent="0.2">
      <c r="A1068" s="234"/>
      <c r="B1068" s="81" t="s">
        <v>445</v>
      </c>
      <c r="C1068" s="27"/>
      <c r="D1068" s="29"/>
      <c r="E1068" s="30"/>
      <c r="F1068" s="249"/>
      <c r="G1068" s="89"/>
    </row>
    <row r="1069" spans="1:11" ht="51" x14ac:dyDescent="0.2">
      <c r="A1069" s="234"/>
      <c r="B1069" s="33" t="s">
        <v>221</v>
      </c>
      <c r="C1069" s="27"/>
      <c r="D1069" s="29"/>
      <c r="E1069" s="30"/>
      <c r="F1069" s="249"/>
      <c r="G1069" s="89"/>
    </row>
    <row r="1070" spans="1:11" ht="25.5" x14ac:dyDescent="0.2">
      <c r="A1070" s="234"/>
      <c r="B1070" s="33" t="s">
        <v>438</v>
      </c>
      <c r="C1070" s="62"/>
      <c r="D1070" s="29"/>
      <c r="E1070" s="30"/>
      <c r="F1070" s="249"/>
      <c r="G1070" s="89"/>
    </row>
    <row r="1071" spans="1:11" x14ac:dyDescent="0.2">
      <c r="A1071" s="267"/>
      <c r="B1071" s="139"/>
      <c r="C1071" s="62"/>
      <c r="D1071" s="29"/>
      <c r="E1071" s="30"/>
      <c r="F1071" s="249"/>
      <c r="G1071" s="89"/>
    </row>
    <row r="1072" spans="1:11" x14ac:dyDescent="0.2">
      <c r="A1072" s="267"/>
      <c r="B1072" s="20" t="s">
        <v>524</v>
      </c>
      <c r="C1072" s="62"/>
      <c r="D1072" s="29"/>
      <c r="E1072" s="30"/>
      <c r="F1072" s="249"/>
      <c r="G1072" s="89"/>
    </row>
    <row r="1073" spans="1:11" x14ac:dyDescent="0.2">
      <c r="A1073" s="234"/>
      <c r="B1073" s="24" t="s">
        <v>856</v>
      </c>
      <c r="C1073" s="17" t="s">
        <v>39</v>
      </c>
      <c r="D1073" s="52">
        <f>0.5*132.3</f>
        <v>66.150000000000006</v>
      </c>
      <c r="E1073" s="12"/>
      <c r="F1073" s="249">
        <f>D1073*E1073</f>
        <v>0</v>
      </c>
      <c r="G1073" s="89"/>
    </row>
    <row r="1074" spans="1:11" x14ac:dyDescent="0.2">
      <c r="A1074" s="234"/>
      <c r="B1074" s="20"/>
      <c r="C1074" s="17"/>
      <c r="D1074" s="29"/>
      <c r="E1074" s="30"/>
      <c r="F1074" s="249"/>
      <c r="G1074" s="89"/>
    </row>
    <row r="1075" spans="1:11" ht="38.25" x14ac:dyDescent="0.2">
      <c r="A1075" s="234" t="s">
        <v>171</v>
      </c>
      <c r="B1075" s="10" t="s">
        <v>848</v>
      </c>
      <c r="C1075" s="17"/>
      <c r="D1075" s="29"/>
      <c r="E1075" s="30"/>
      <c r="F1075" s="249"/>
      <c r="G1075" s="89"/>
    </row>
    <row r="1076" spans="1:11" ht="51" x14ac:dyDescent="0.2">
      <c r="A1076" s="234"/>
      <c r="B1076" s="10" t="s">
        <v>922</v>
      </c>
      <c r="C1076" s="17"/>
      <c r="D1076" s="29"/>
      <c r="E1076" s="30"/>
      <c r="F1076" s="249"/>
      <c r="G1076" s="89"/>
    </row>
    <row r="1077" spans="1:11" ht="51" x14ac:dyDescent="0.2">
      <c r="A1077" s="234"/>
      <c r="B1077" s="10" t="s">
        <v>914</v>
      </c>
      <c r="C1077" s="17"/>
      <c r="D1077" s="29"/>
      <c r="E1077" s="30"/>
      <c r="F1077" s="249"/>
      <c r="G1077" s="89"/>
    </row>
    <row r="1078" spans="1:11" ht="51" x14ac:dyDescent="0.2">
      <c r="A1078" s="234"/>
      <c r="B1078" s="33" t="s">
        <v>221</v>
      </c>
      <c r="C1078" s="17"/>
      <c r="D1078" s="29"/>
      <c r="E1078" s="30"/>
      <c r="F1078" s="249"/>
      <c r="G1078" s="89"/>
    </row>
    <row r="1079" spans="1:11" ht="76.5" x14ac:dyDescent="0.2">
      <c r="A1079" s="234"/>
      <c r="B1079" s="1" t="s">
        <v>851</v>
      </c>
      <c r="C1079" s="17"/>
      <c r="D1079" s="29"/>
      <c r="E1079" s="30"/>
      <c r="F1079" s="249"/>
      <c r="G1079" s="89"/>
    </row>
    <row r="1080" spans="1:11" ht="25.5" x14ac:dyDescent="0.2">
      <c r="A1080" s="339"/>
      <c r="B1080" s="372" t="s">
        <v>438</v>
      </c>
      <c r="C1080" s="363"/>
      <c r="D1080" s="342"/>
      <c r="E1080" s="359"/>
      <c r="F1080" s="344"/>
      <c r="G1080" s="89"/>
    </row>
    <row r="1081" spans="1:11" x14ac:dyDescent="0.2">
      <c r="A1081" s="234"/>
      <c r="B1081" s="10"/>
      <c r="C1081" s="17"/>
      <c r="D1081" s="29"/>
      <c r="E1081" s="30"/>
      <c r="F1081" s="249"/>
      <c r="G1081" s="89"/>
    </row>
    <row r="1082" spans="1:11" ht="25.5" x14ac:dyDescent="0.2">
      <c r="A1082" s="234"/>
      <c r="B1082" s="10" t="s">
        <v>852</v>
      </c>
      <c r="C1082" s="17"/>
      <c r="D1082" s="29"/>
      <c r="E1082" s="30"/>
      <c r="F1082" s="249"/>
      <c r="G1082" s="89"/>
    </row>
    <row r="1083" spans="1:11" ht="114.75" x14ac:dyDescent="0.2">
      <c r="A1083" s="234"/>
      <c r="B1083" s="91" t="s">
        <v>853</v>
      </c>
      <c r="C1083" s="17" t="s">
        <v>39</v>
      </c>
      <c r="D1083" s="323">
        <f>2.1*(3.51+6.27+1+2.48+5.36+3.72+5.13+6.31)+2.7*(2.65+1.76+7.68+13.72+2.1*2+6.5+1.3+7.6+3.5+3.1+13.5+6.12+1.56+7.97+18.51)-(2.1*2.1+1*1+1.8*1*2+1*1.6+2.7*2.4*6+1.55*1.6+1*1.6*2+1*1*3+1.8*1+2.1*2.1+1*0.6+1+2+1.8*1.5*2+1*2+1.8*1+1.6*2.6+1*1.6+1.8*1+1.8*1.5+1*2*2+0.8*2*2+1*0.6+1.6*2.25)</f>
        <v>241.20700000000005</v>
      </c>
      <c r="E1083" s="20"/>
      <c r="F1083" s="249">
        <f>D1083*E1083</f>
        <v>0</v>
      </c>
      <c r="G1083" s="89"/>
    </row>
    <row r="1084" spans="1:11" x14ac:dyDescent="0.2">
      <c r="A1084" s="234"/>
      <c r="B1084" s="10"/>
      <c r="C1084" s="17"/>
      <c r="D1084" s="29"/>
      <c r="E1084" s="30"/>
      <c r="F1084" s="249"/>
      <c r="G1084" s="89"/>
    </row>
    <row r="1085" spans="1:11" s="74" customFormat="1" ht="51" x14ac:dyDescent="0.2">
      <c r="A1085" s="234" t="s">
        <v>4</v>
      </c>
      <c r="B1085" s="166" t="s">
        <v>446</v>
      </c>
      <c r="C1085" s="17"/>
      <c r="D1085" s="29"/>
      <c r="E1085" s="23"/>
      <c r="F1085" s="249"/>
    </row>
    <row r="1086" spans="1:11" ht="76.5" x14ac:dyDescent="0.2">
      <c r="A1086" s="234"/>
      <c r="B1086" s="1" t="s">
        <v>420</v>
      </c>
      <c r="C1086" s="17"/>
      <c r="D1086" s="29"/>
      <c r="E1086" s="23"/>
      <c r="F1086" s="249"/>
    </row>
    <row r="1087" spans="1:11" ht="63.75" x14ac:dyDescent="0.2">
      <c r="A1087" s="234"/>
      <c r="B1087" s="1" t="s">
        <v>421</v>
      </c>
      <c r="C1087" s="17"/>
      <c r="D1087" s="29"/>
      <c r="E1087" s="23"/>
      <c r="F1087" s="249"/>
      <c r="H1087" s="74"/>
      <c r="I1087" s="74"/>
      <c r="J1087" s="74"/>
      <c r="K1087" s="74"/>
    </row>
    <row r="1088" spans="1:11" ht="114.75" x14ac:dyDescent="0.2">
      <c r="A1088" s="234"/>
      <c r="B1088" s="81" t="s">
        <v>422</v>
      </c>
      <c r="C1088" s="17"/>
      <c r="D1088" s="29"/>
      <c r="E1088" s="23"/>
      <c r="F1088" s="249"/>
      <c r="H1088" s="78"/>
      <c r="I1088" s="13"/>
      <c r="J1088" s="105"/>
      <c r="K1088" s="74"/>
    </row>
    <row r="1089" spans="1:10" s="74" customFormat="1" ht="51" x14ac:dyDescent="0.2">
      <c r="A1089" s="234"/>
      <c r="B1089" s="33" t="s">
        <v>447</v>
      </c>
      <c r="C1089" s="17"/>
      <c r="D1089" s="29"/>
      <c r="E1089" s="23"/>
      <c r="F1089" s="249"/>
      <c r="H1089" s="78"/>
      <c r="I1089" s="13"/>
      <c r="J1089" s="105"/>
    </row>
    <row r="1090" spans="1:10" s="74" customFormat="1" ht="51" x14ac:dyDescent="0.2">
      <c r="A1090" s="234"/>
      <c r="B1090" s="33" t="s">
        <v>221</v>
      </c>
      <c r="C1090" s="17"/>
      <c r="D1090" s="29"/>
      <c r="E1090" s="23"/>
      <c r="F1090" s="249"/>
      <c r="H1090" s="78"/>
      <c r="I1090" s="13"/>
      <c r="J1090" s="105"/>
    </row>
    <row r="1091" spans="1:10" s="74" customFormat="1" ht="38.25" x14ac:dyDescent="0.2">
      <c r="A1091" s="339"/>
      <c r="B1091" s="372" t="s">
        <v>448</v>
      </c>
      <c r="C1091" s="363"/>
      <c r="D1091" s="342"/>
      <c r="E1091" s="366"/>
      <c r="F1091" s="344"/>
      <c r="G1091" s="218"/>
      <c r="H1091" s="78"/>
      <c r="I1091" s="91"/>
      <c r="J1091" s="105"/>
    </row>
    <row r="1092" spans="1:10" s="74" customFormat="1" x14ac:dyDescent="0.2">
      <c r="A1092" s="234"/>
      <c r="B1092" s="20"/>
      <c r="C1092" s="17"/>
      <c r="D1092" s="29"/>
      <c r="E1092" s="23"/>
      <c r="F1092" s="249"/>
      <c r="G1092" s="219"/>
      <c r="J1092" s="105"/>
    </row>
    <row r="1093" spans="1:10" s="74" customFormat="1" x14ac:dyDescent="0.2">
      <c r="A1093" s="251" t="s">
        <v>282</v>
      </c>
      <c r="B1093" s="21" t="s">
        <v>440</v>
      </c>
      <c r="C1093" s="17"/>
      <c r="D1093" s="29"/>
      <c r="E1093" s="23"/>
      <c r="F1093" s="249"/>
      <c r="G1093" s="220"/>
      <c r="I1093" s="75"/>
      <c r="J1093" s="105"/>
    </row>
    <row r="1094" spans="1:10" s="74" customFormat="1" ht="25.5" x14ac:dyDescent="0.2">
      <c r="A1094" s="234"/>
      <c r="B1094" s="20" t="s">
        <v>449</v>
      </c>
      <c r="C1094" s="17"/>
      <c r="D1094" s="29"/>
      <c r="E1094" s="23"/>
      <c r="F1094" s="249"/>
      <c r="G1094" s="219"/>
      <c r="J1094" s="105"/>
    </row>
    <row r="1095" spans="1:10" s="74" customFormat="1" ht="25.5" x14ac:dyDescent="0.2">
      <c r="A1095" s="234"/>
      <c r="B1095" s="20" t="s">
        <v>450</v>
      </c>
      <c r="C1095" s="17"/>
      <c r="D1095" s="29"/>
      <c r="E1095" s="23"/>
      <c r="F1095" s="249"/>
      <c r="G1095" s="219"/>
      <c r="J1095" s="105"/>
    </row>
    <row r="1096" spans="1:10" s="74" customFormat="1" x14ac:dyDescent="0.2">
      <c r="A1096" s="234"/>
      <c r="B1096" s="20"/>
      <c r="C1096" s="17"/>
      <c r="D1096" s="29"/>
      <c r="E1096" s="23"/>
      <c r="F1096" s="249"/>
      <c r="G1096" s="220"/>
      <c r="I1096" s="75"/>
      <c r="J1096" s="105"/>
    </row>
    <row r="1097" spans="1:10" s="74" customFormat="1" x14ac:dyDescent="0.2">
      <c r="A1097" s="234"/>
      <c r="B1097" s="25" t="s">
        <v>28</v>
      </c>
      <c r="C1097" s="25"/>
      <c r="D1097" s="65"/>
      <c r="E1097" s="23"/>
      <c r="F1097" s="249"/>
      <c r="G1097" s="219"/>
      <c r="J1097" s="105"/>
    </row>
    <row r="1098" spans="1:10" s="74" customFormat="1" x14ac:dyDescent="0.2">
      <c r="A1098" s="234"/>
      <c r="B1098" s="26" t="s">
        <v>1288</v>
      </c>
      <c r="C1098" s="25"/>
      <c r="D1098" s="29">
        <f>2.77*60.94-(1.55*2+1*2.1*10)</f>
        <v>144.7038</v>
      </c>
      <c r="E1098" s="23"/>
      <c r="F1098" s="249"/>
      <c r="G1098" s="219"/>
      <c r="J1098" s="105"/>
    </row>
    <row r="1099" spans="1:10" s="74" customFormat="1" x14ac:dyDescent="0.2">
      <c r="A1099" s="234"/>
      <c r="B1099" s="25"/>
      <c r="C1099" s="25"/>
      <c r="D1099" s="65"/>
      <c r="E1099" s="23"/>
      <c r="F1099" s="249"/>
      <c r="G1099" s="220"/>
      <c r="I1099" s="75"/>
      <c r="J1099" s="105"/>
    </row>
    <row r="1100" spans="1:10" s="74" customFormat="1" x14ac:dyDescent="0.2">
      <c r="A1100" s="234"/>
      <c r="B1100" s="25" t="s">
        <v>746</v>
      </c>
      <c r="C1100" s="25"/>
      <c r="D1100" s="65"/>
      <c r="E1100" s="23"/>
      <c r="F1100" s="249"/>
      <c r="G1100" s="221"/>
      <c r="H1100" s="78"/>
      <c r="I1100" s="91"/>
      <c r="J1100" s="105"/>
    </row>
    <row r="1101" spans="1:10" s="74" customFormat="1" ht="25.5" x14ac:dyDescent="0.2">
      <c r="A1101" s="234"/>
      <c r="B1101" s="26" t="s">
        <v>863</v>
      </c>
      <c r="C1101" s="25"/>
      <c r="D1101" s="29">
        <f>2.77*(82.31+13.16)-(1.55*2+1.6*2.25+1*2.1*11)</f>
        <v>234.65190000000001</v>
      </c>
      <c r="E1101" s="23"/>
      <c r="F1101" s="249"/>
      <c r="G1101" s="221"/>
      <c r="H1101" s="78"/>
      <c r="I1101" s="91"/>
      <c r="J1101" s="105"/>
    </row>
    <row r="1102" spans="1:10" s="74" customFormat="1" x14ac:dyDescent="0.2">
      <c r="A1102" s="234"/>
      <c r="B1102" s="25"/>
      <c r="C1102" s="25"/>
      <c r="D1102" s="65"/>
      <c r="E1102" s="23"/>
      <c r="F1102" s="249"/>
      <c r="G1102" s="220"/>
      <c r="I1102" s="75"/>
      <c r="J1102" s="105"/>
    </row>
    <row r="1103" spans="1:10" s="74" customFormat="1" x14ac:dyDescent="0.2">
      <c r="A1103" s="234"/>
      <c r="B1103" s="25" t="s">
        <v>750</v>
      </c>
      <c r="C1103" s="25"/>
      <c r="D1103" s="65"/>
      <c r="E1103" s="23"/>
      <c r="F1103" s="249"/>
      <c r="G1103" s="221"/>
      <c r="H1103" s="78"/>
      <c r="I1103" s="91"/>
      <c r="J1103" s="105"/>
    </row>
    <row r="1104" spans="1:10" s="74" customFormat="1" ht="25.5" x14ac:dyDescent="0.2">
      <c r="A1104" s="234"/>
      <c r="B1104" s="26" t="s">
        <v>864</v>
      </c>
      <c r="C1104" s="25"/>
      <c r="D1104" s="29">
        <f>2*2.77*(82.31+13.16)-2*(1.55*2+1.6*2.25+1*2.1*11)</f>
        <v>469.30380000000002</v>
      </c>
      <c r="E1104" s="23"/>
      <c r="F1104" s="249"/>
      <c r="G1104" s="219"/>
      <c r="H1104" s="78"/>
      <c r="I1104" s="75"/>
      <c r="J1104" s="105"/>
    </row>
    <row r="1105" spans="1:11" s="74" customFormat="1" x14ac:dyDescent="0.2">
      <c r="A1105" s="234"/>
      <c r="B1105" s="24"/>
      <c r="C1105" s="17"/>
      <c r="D1105" s="52"/>
      <c r="E1105" s="23"/>
      <c r="F1105" s="249"/>
      <c r="G1105" s="219"/>
      <c r="J1105" s="105"/>
    </row>
    <row r="1106" spans="1:11" s="74" customFormat="1" x14ac:dyDescent="0.2">
      <c r="A1106" s="234"/>
      <c r="B1106" s="24" t="s">
        <v>776</v>
      </c>
      <c r="C1106" s="17"/>
      <c r="D1106" s="52"/>
      <c r="E1106" s="23"/>
      <c r="F1106" s="249"/>
      <c r="J1106" s="105"/>
    </row>
    <row r="1107" spans="1:11" s="74" customFormat="1" ht="25.5" x14ac:dyDescent="0.2">
      <c r="A1107" s="234"/>
      <c r="B1107" s="26" t="s">
        <v>863</v>
      </c>
      <c r="C1107" s="17"/>
      <c r="D1107" s="217">
        <f>2.77*(82.31+13.16)-(1.55*2+1.6*2.25+1*2.1*11)</f>
        <v>234.65190000000001</v>
      </c>
      <c r="E1107" s="23"/>
      <c r="F1107" s="249"/>
      <c r="J1107" s="105"/>
    </row>
    <row r="1108" spans="1:11" s="74" customFormat="1" x14ac:dyDescent="0.2">
      <c r="A1108" s="234"/>
      <c r="B1108" s="26"/>
      <c r="C1108" s="17"/>
      <c r="D1108" s="52"/>
      <c r="E1108" s="23"/>
      <c r="F1108" s="249"/>
      <c r="J1108" s="105"/>
    </row>
    <row r="1109" spans="1:11" x14ac:dyDescent="0.2">
      <c r="A1109" s="234"/>
      <c r="B1109" s="25" t="s">
        <v>283</v>
      </c>
      <c r="C1109" s="25"/>
      <c r="D1109" s="29">
        <f>SUM(D1098:D1108)</f>
        <v>1083.3114</v>
      </c>
      <c r="E1109" s="20"/>
      <c r="F1109" s="249">
        <f>D1109*E1109</f>
        <v>0</v>
      </c>
      <c r="G1109" s="11"/>
      <c r="H1109" s="74"/>
      <c r="I1109" s="90"/>
      <c r="J1109" s="81"/>
      <c r="K1109" s="74"/>
    </row>
    <row r="1110" spans="1:11" s="74" customFormat="1" x14ac:dyDescent="0.2">
      <c r="A1110" s="234"/>
      <c r="B1110" s="24"/>
      <c r="C1110" s="17"/>
      <c r="D1110" s="52"/>
      <c r="E1110" s="23"/>
      <c r="F1110" s="249"/>
      <c r="J1110" s="105"/>
    </row>
    <row r="1111" spans="1:11" x14ac:dyDescent="0.2">
      <c r="A1111" s="251" t="s">
        <v>284</v>
      </c>
      <c r="B1111" s="21" t="s">
        <v>451</v>
      </c>
      <c r="C1111" s="17"/>
      <c r="D1111" s="29"/>
      <c r="E1111" s="23"/>
      <c r="F1111" s="249"/>
      <c r="G1111" s="11"/>
      <c r="H1111" s="101"/>
      <c r="I1111" s="74"/>
      <c r="J1111" s="74"/>
      <c r="K1111" s="74"/>
    </row>
    <row r="1112" spans="1:11" ht="25.5" x14ac:dyDescent="0.2">
      <c r="A1112" s="234"/>
      <c r="B1112" s="20" t="s">
        <v>452</v>
      </c>
      <c r="C1112" s="17"/>
      <c r="D1112" s="29"/>
      <c r="E1112" s="23"/>
      <c r="F1112" s="249"/>
      <c r="G1112" s="11"/>
      <c r="H1112" s="66"/>
      <c r="I1112" s="74"/>
      <c r="J1112" s="199"/>
      <c r="K1112" s="74"/>
    </row>
    <row r="1113" spans="1:11" ht="25.5" x14ac:dyDescent="0.2">
      <c r="A1113" s="234"/>
      <c r="B1113" s="20" t="s">
        <v>453</v>
      </c>
      <c r="C1113" s="17"/>
      <c r="D1113" s="29"/>
      <c r="E1113" s="23"/>
      <c r="F1113" s="249"/>
      <c r="G1113" s="11"/>
      <c r="H1113" s="66"/>
      <c r="I1113" s="74"/>
      <c r="J1113" s="199"/>
      <c r="K1113" s="74"/>
    </row>
    <row r="1114" spans="1:11" x14ac:dyDescent="0.2">
      <c r="A1114" s="234"/>
      <c r="B1114" s="20"/>
      <c r="C1114" s="17"/>
      <c r="D1114" s="29"/>
      <c r="E1114" s="23"/>
      <c r="F1114" s="249"/>
      <c r="G1114" s="11"/>
      <c r="H1114" s="66"/>
      <c r="I1114" s="74"/>
      <c r="J1114" s="199"/>
      <c r="K1114" s="74"/>
    </row>
    <row r="1115" spans="1:11" x14ac:dyDescent="0.2">
      <c r="A1115" s="234"/>
      <c r="B1115" s="25" t="s">
        <v>28</v>
      </c>
      <c r="C1115" s="17"/>
      <c r="D1115" s="29"/>
      <c r="E1115" s="23"/>
      <c r="F1115" s="249"/>
      <c r="G1115" s="11"/>
      <c r="H1115" s="66"/>
      <c r="I1115" s="90"/>
      <c r="J1115" s="75"/>
      <c r="K1115" s="74"/>
    </row>
    <row r="1116" spans="1:11" ht="38.25" x14ac:dyDescent="0.2">
      <c r="A1116" s="234"/>
      <c r="B1116" s="26" t="s">
        <v>867</v>
      </c>
      <c r="C1116" s="17"/>
      <c r="D1116" s="29">
        <f>2.77*(1.1+2.68+1.1+4.46+4.49+3.61+2.2+2.25+1.8+1.1+2.8+1.1+2.68+1.48+1.87+1.48)</f>
        <v>100.27399999999999</v>
      </c>
      <c r="E1116" s="23"/>
      <c r="F1116" s="249"/>
      <c r="G1116" s="11"/>
      <c r="H1116" s="66"/>
      <c r="I1116" s="90"/>
      <c r="J1116" s="75"/>
      <c r="K1116" s="74"/>
    </row>
    <row r="1117" spans="1:11" x14ac:dyDescent="0.2">
      <c r="A1117" s="234"/>
      <c r="B1117" s="25"/>
      <c r="C1117" s="17"/>
      <c r="D1117" s="29"/>
      <c r="E1117" s="23"/>
      <c r="F1117" s="249"/>
      <c r="G1117" s="11"/>
      <c r="H1117" s="66"/>
      <c r="I1117" s="90"/>
      <c r="J1117" s="75"/>
      <c r="K1117" s="74"/>
    </row>
    <row r="1118" spans="1:11" x14ac:dyDescent="0.2">
      <c r="A1118" s="234"/>
      <c r="B1118" s="25" t="s">
        <v>746</v>
      </c>
      <c r="C1118" s="17"/>
      <c r="D1118" s="29"/>
      <c r="E1118" s="23"/>
      <c r="F1118" s="249"/>
      <c r="G1118" s="11"/>
      <c r="H1118" s="66"/>
      <c r="I1118" s="90"/>
      <c r="J1118" s="75"/>
      <c r="K1118" s="74"/>
    </row>
    <row r="1119" spans="1:11" ht="38.25" x14ac:dyDescent="0.2">
      <c r="A1119" s="234"/>
      <c r="B1119" s="26" t="s">
        <v>868</v>
      </c>
      <c r="C1119" s="17"/>
      <c r="D1119" s="29">
        <f>2.77*(2.68+1.1*2+4.46+1.48+1.87+3.61+1.48+1.8+2.2+2.25+1.48*2+4+2.98+1.7+4.45+2.67+1.1)</f>
        <v>121.57530000000003</v>
      </c>
      <c r="E1119" s="23"/>
      <c r="F1119" s="249"/>
      <c r="G1119" s="11"/>
      <c r="H1119" s="66"/>
      <c r="I1119" s="90"/>
      <c r="J1119" s="75"/>
      <c r="K1119" s="74"/>
    </row>
    <row r="1120" spans="1:11" s="74" customFormat="1" x14ac:dyDescent="0.2">
      <c r="A1120" s="234"/>
      <c r="B1120" s="25"/>
      <c r="C1120" s="17"/>
      <c r="D1120" s="29"/>
      <c r="E1120" s="23"/>
      <c r="F1120" s="249"/>
      <c r="G1120" s="11"/>
      <c r="H1120" s="101"/>
      <c r="I1120" s="101"/>
      <c r="J1120" s="200"/>
    </row>
    <row r="1121" spans="1:11" x14ac:dyDescent="0.2">
      <c r="A1121" s="268"/>
      <c r="B1121" s="25" t="s">
        <v>750</v>
      </c>
      <c r="C1121" s="17"/>
      <c r="D1121" s="29"/>
      <c r="E1121" s="23"/>
      <c r="F1121" s="249"/>
      <c r="H1121" s="101"/>
      <c r="I1121" s="101"/>
      <c r="J1121" s="200"/>
      <c r="K1121" s="74"/>
    </row>
    <row r="1122" spans="1:11" ht="38.25" x14ac:dyDescent="0.2">
      <c r="A1122" s="234"/>
      <c r="B1122" s="26" t="s">
        <v>869</v>
      </c>
      <c r="C1122" s="22"/>
      <c r="D1122" s="29">
        <f>2*2.77*(2.68+1.1*2+4.46+1.48+1.87+3.61+1.48+1.8+2.2+2.25+1.48*2+4+2.98+1.7+4.45+2.67+1.1)</f>
        <v>243.15060000000005</v>
      </c>
      <c r="E1122" s="23"/>
      <c r="F1122" s="249"/>
      <c r="H1122" s="101"/>
      <c r="I1122" s="101"/>
      <c r="J1122" s="200"/>
      <c r="K1122" s="74"/>
    </row>
    <row r="1123" spans="1:11" s="74" customFormat="1" x14ac:dyDescent="0.2">
      <c r="A1123" s="234"/>
      <c r="B1123" s="20"/>
      <c r="C1123" s="17"/>
      <c r="D1123" s="29"/>
      <c r="E1123" s="23"/>
      <c r="F1123" s="249"/>
      <c r="H1123" s="101"/>
      <c r="I1123" s="101"/>
      <c r="J1123" s="200"/>
    </row>
    <row r="1124" spans="1:11" s="74" customFormat="1" x14ac:dyDescent="0.2">
      <c r="A1124" s="234"/>
      <c r="B1124" s="20" t="s">
        <v>776</v>
      </c>
      <c r="C1124" s="17"/>
      <c r="D1124" s="29"/>
      <c r="E1124" s="23"/>
      <c r="F1124" s="249"/>
      <c r="H1124" s="101"/>
      <c r="I1124" s="101"/>
      <c r="J1124" s="200"/>
    </row>
    <row r="1125" spans="1:11" s="74" customFormat="1" ht="38.25" x14ac:dyDescent="0.2">
      <c r="A1125" s="234"/>
      <c r="B1125" s="26" t="s">
        <v>868</v>
      </c>
      <c r="C1125" s="17"/>
      <c r="D1125" s="29">
        <f>2.77*(2.68+1.1*2+4.46+1.48+1.87+3.61+1.48+1.8+2.2+2.25+1.48*2+4+2.98+1.7+4.45+2.67+1.1)</f>
        <v>121.57530000000003</v>
      </c>
      <c r="E1125" s="23"/>
      <c r="F1125" s="249"/>
      <c r="H1125" s="101"/>
      <c r="I1125" s="101"/>
      <c r="J1125" s="200"/>
    </row>
    <row r="1126" spans="1:11" s="74" customFormat="1" x14ac:dyDescent="0.2">
      <c r="A1126" s="234"/>
      <c r="B1126" s="20"/>
      <c r="C1126" s="17"/>
      <c r="D1126" s="29"/>
      <c r="E1126" s="23"/>
      <c r="F1126" s="249"/>
      <c r="H1126" s="101"/>
      <c r="I1126" s="101"/>
      <c r="J1126" s="200"/>
    </row>
    <row r="1127" spans="1:11" x14ac:dyDescent="0.2">
      <c r="A1127" s="339"/>
      <c r="B1127" s="376" t="s">
        <v>285</v>
      </c>
      <c r="C1127" s="363" t="s">
        <v>39</v>
      </c>
      <c r="D1127" s="342">
        <f>SUM(D1116:D1126)</f>
        <v>586.57520000000011</v>
      </c>
      <c r="E1127" s="352"/>
      <c r="F1127" s="344">
        <f>D1127*E1127</f>
        <v>0</v>
      </c>
      <c r="H1127" s="101"/>
      <c r="I1127" s="101"/>
      <c r="J1127" s="200"/>
      <c r="K1127" s="74"/>
    </row>
    <row r="1128" spans="1:11" x14ac:dyDescent="0.2">
      <c r="A1128" s="234"/>
      <c r="B1128" s="26"/>
      <c r="C1128" s="62"/>
      <c r="D1128" s="29"/>
      <c r="E1128" s="18"/>
      <c r="F1128" s="249"/>
      <c r="G1128" s="105"/>
      <c r="H1128" s="101"/>
      <c r="I1128" s="101"/>
      <c r="J1128" s="200"/>
      <c r="K1128" s="74"/>
    </row>
    <row r="1129" spans="1:11" ht="38.25" x14ac:dyDescent="0.2">
      <c r="A1129" s="234" t="s">
        <v>165</v>
      </c>
      <c r="B1129" s="166" t="s">
        <v>454</v>
      </c>
      <c r="C1129" s="17"/>
      <c r="D1129" s="29"/>
      <c r="E1129" s="23"/>
      <c r="F1129" s="249"/>
      <c r="H1129" s="101"/>
      <c r="I1129" s="101"/>
      <c r="J1129" s="200"/>
      <c r="K1129" s="74"/>
    </row>
    <row r="1130" spans="1:11" ht="76.5" x14ac:dyDescent="0.2">
      <c r="A1130" s="234"/>
      <c r="B1130" s="61" t="s">
        <v>455</v>
      </c>
      <c r="C1130" s="17"/>
      <c r="D1130" s="29"/>
      <c r="E1130" s="23"/>
      <c r="F1130" s="249"/>
      <c r="G1130" s="11"/>
      <c r="H1130" s="101"/>
      <c r="I1130" s="101"/>
      <c r="J1130" s="200"/>
      <c r="K1130" s="74"/>
    </row>
    <row r="1131" spans="1:11" ht="63.75" x14ac:dyDescent="0.2">
      <c r="A1131" s="234"/>
      <c r="B1131" s="81" t="s">
        <v>456</v>
      </c>
      <c r="C1131" s="17"/>
      <c r="D1131" s="29"/>
      <c r="E1131" s="23"/>
      <c r="F1131" s="249"/>
      <c r="G1131" s="105"/>
      <c r="H1131" s="101"/>
      <c r="I1131" s="101"/>
      <c r="J1131" s="200"/>
      <c r="K1131" s="74"/>
    </row>
    <row r="1132" spans="1:11" ht="38.25" x14ac:dyDescent="0.2">
      <c r="A1132" s="234"/>
      <c r="B1132" s="81" t="s">
        <v>457</v>
      </c>
      <c r="C1132" s="17"/>
      <c r="D1132" s="29"/>
      <c r="E1132" s="23"/>
      <c r="F1132" s="249"/>
      <c r="G1132" s="11"/>
      <c r="H1132" s="101"/>
      <c r="I1132" s="101"/>
      <c r="J1132" s="200"/>
      <c r="K1132" s="74"/>
    </row>
    <row r="1133" spans="1:11" ht="51" x14ac:dyDescent="0.2">
      <c r="A1133" s="234"/>
      <c r="B1133" s="33" t="s">
        <v>221</v>
      </c>
      <c r="C1133" s="17"/>
      <c r="D1133" s="29"/>
      <c r="E1133" s="23"/>
      <c r="F1133" s="249"/>
      <c r="H1133" s="101"/>
      <c r="I1133" s="201"/>
      <c r="J1133" s="202"/>
      <c r="K1133" s="74"/>
    </row>
    <row r="1134" spans="1:11" ht="38.25" x14ac:dyDescent="0.2">
      <c r="A1134" s="234"/>
      <c r="B1134" s="33" t="s">
        <v>458</v>
      </c>
      <c r="C1134" s="17"/>
      <c r="D1134" s="29"/>
      <c r="E1134" s="23"/>
      <c r="F1134" s="249"/>
      <c r="H1134" s="106"/>
      <c r="I1134" s="201"/>
      <c r="J1134" s="202"/>
      <c r="K1134" s="74"/>
    </row>
    <row r="1135" spans="1:11" x14ac:dyDescent="0.2">
      <c r="A1135" s="234"/>
      <c r="B1135" s="20"/>
      <c r="C1135" s="17"/>
      <c r="D1135" s="29"/>
      <c r="E1135" s="23"/>
      <c r="F1135" s="249"/>
      <c r="H1135" s="101"/>
      <c r="I1135" s="101"/>
      <c r="J1135" s="106"/>
      <c r="K1135" s="74"/>
    </row>
    <row r="1136" spans="1:11" ht="25.5" x14ac:dyDescent="0.2">
      <c r="A1136" s="234"/>
      <c r="B1136" s="20" t="s">
        <v>459</v>
      </c>
      <c r="C1136" s="17"/>
      <c r="D1136" s="29"/>
      <c r="E1136" s="23"/>
      <c r="F1136" s="249"/>
      <c r="H1136" s="101"/>
      <c r="I1136" s="101"/>
      <c r="J1136" s="106"/>
      <c r="K1136" s="74"/>
    </row>
    <row r="1137" spans="1:11" x14ac:dyDescent="0.2">
      <c r="A1137" s="234"/>
      <c r="B1137" s="20"/>
      <c r="C1137" s="17"/>
      <c r="D1137" s="29"/>
      <c r="E1137" s="23"/>
      <c r="F1137" s="249"/>
      <c r="H1137" s="101"/>
      <c r="I1137" s="101"/>
      <c r="J1137" s="106"/>
      <c r="K1137" s="74"/>
    </row>
    <row r="1138" spans="1:11" x14ac:dyDescent="0.2">
      <c r="A1138" s="234"/>
      <c r="B1138" s="25" t="s">
        <v>28</v>
      </c>
      <c r="C1138" s="17"/>
      <c r="D1138" s="29"/>
      <c r="E1138" s="23"/>
      <c r="F1138" s="249"/>
      <c r="H1138" s="101"/>
      <c r="I1138" s="101"/>
      <c r="J1138" s="106"/>
      <c r="K1138" s="74"/>
    </row>
    <row r="1139" spans="1:11" x14ac:dyDescent="0.2">
      <c r="A1139" s="234"/>
      <c r="B1139" s="26" t="s">
        <v>744</v>
      </c>
      <c r="C1139" s="17"/>
      <c r="D1139" s="29">
        <f>2.77*(2.33+1.9+2.57)</f>
        <v>18.836000000000002</v>
      </c>
      <c r="E1139" s="23"/>
      <c r="F1139" s="249">
        <f>D1139*E1139</f>
        <v>0</v>
      </c>
      <c r="H1139" s="101"/>
      <c r="I1139" s="101"/>
      <c r="J1139" s="106"/>
      <c r="K1139" s="74"/>
    </row>
    <row r="1140" spans="1:11" x14ac:dyDescent="0.2">
      <c r="A1140" s="234"/>
      <c r="B1140" s="25"/>
      <c r="C1140" s="17"/>
      <c r="D1140" s="29"/>
      <c r="E1140" s="23"/>
      <c r="F1140" s="249"/>
      <c r="H1140" s="101"/>
      <c r="I1140" s="101"/>
      <c r="J1140" s="106"/>
      <c r="K1140" s="74"/>
    </row>
    <row r="1141" spans="1:11" x14ac:dyDescent="0.2">
      <c r="A1141" s="234"/>
      <c r="B1141" s="25" t="s">
        <v>836</v>
      </c>
      <c r="C1141" s="17"/>
      <c r="D1141" s="29"/>
      <c r="E1141" s="23"/>
      <c r="F1141" s="249"/>
      <c r="H1141" s="101"/>
      <c r="I1141" s="101"/>
      <c r="J1141" s="106"/>
      <c r="K1141" s="74"/>
    </row>
    <row r="1142" spans="1:11" s="74" customFormat="1" x14ac:dyDescent="0.2">
      <c r="A1142" s="234"/>
      <c r="B1142" s="26" t="s">
        <v>865</v>
      </c>
      <c r="C1142" s="17"/>
      <c r="D1142" s="29">
        <f>4*2.77*(2.33+1.9+2.57)</f>
        <v>75.344000000000008</v>
      </c>
      <c r="E1142" s="23"/>
      <c r="F1142" s="249"/>
      <c r="H1142" s="101"/>
      <c r="I1142" s="101"/>
      <c r="J1142" s="106"/>
    </row>
    <row r="1143" spans="1:11" x14ac:dyDescent="0.2">
      <c r="A1143" s="234"/>
      <c r="B1143" s="25"/>
      <c r="C1143" s="17"/>
      <c r="D1143" s="29"/>
      <c r="E1143" s="23"/>
      <c r="F1143" s="249"/>
      <c r="H1143" s="101"/>
      <c r="I1143" s="101"/>
      <c r="J1143" s="106"/>
      <c r="K1143" s="74"/>
    </row>
    <row r="1144" spans="1:11" x14ac:dyDescent="0.2">
      <c r="A1144" s="234"/>
      <c r="B1144" s="139" t="s">
        <v>1649</v>
      </c>
      <c r="C1144" s="17" t="s">
        <v>39</v>
      </c>
      <c r="D1144" s="29">
        <f>SUM(D1138:D1143)</f>
        <v>94.18</v>
      </c>
      <c r="E1144" s="38"/>
      <c r="F1144" s="249">
        <f>D1144*E1144</f>
        <v>0</v>
      </c>
      <c r="H1144" s="101"/>
      <c r="I1144" s="101"/>
      <c r="J1144" s="106"/>
      <c r="K1144" s="74"/>
    </row>
    <row r="1145" spans="1:11" x14ac:dyDescent="0.2">
      <c r="A1145" s="234"/>
      <c r="B1145" s="61"/>
      <c r="C1145" s="25"/>
      <c r="D1145" s="65"/>
      <c r="E1145" s="25"/>
      <c r="F1145" s="249"/>
      <c r="H1145" s="101"/>
      <c r="I1145" s="101"/>
      <c r="J1145" s="106"/>
      <c r="K1145" s="74"/>
    </row>
    <row r="1146" spans="1:11" ht="38.25" x14ac:dyDescent="0.2">
      <c r="A1146" s="234" t="s">
        <v>166</v>
      </c>
      <c r="B1146" s="25" t="s">
        <v>873</v>
      </c>
      <c r="C1146" s="17"/>
      <c r="D1146" s="29"/>
      <c r="E1146" s="23"/>
      <c r="F1146" s="249"/>
      <c r="H1146" s="101"/>
      <c r="I1146" s="101"/>
      <c r="J1146" s="106"/>
      <c r="K1146" s="74"/>
    </row>
    <row r="1147" spans="1:11" ht="25.5" x14ac:dyDescent="0.2">
      <c r="A1147" s="234"/>
      <c r="B1147" s="25" t="s">
        <v>872</v>
      </c>
      <c r="C1147" s="17"/>
      <c r="D1147" s="29"/>
      <c r="E1147" s="23"/>
      <c r="F1147" s="249"/>
      <c r="H1147" s="101"/>
      <c r="I1147" s="101"/>
      <c r="J1147" s="106"/>
      <c r="K1147" s="74"/>
    </row>
    <row r="1148" spans="1:11" ht="76.5" x14ac:dyDescent="0.2">
      <c r="A1148" s="234"/>
      <c r="B1148" s="25" t="s">
        <v>460</v>
      </c>
      <c r="C1148" s="17"/>
      <c r="D1148" s="29"/>
      <c r="E1148" s="23"/>
      <c r="F1148" s="249"/>
      <c r="H1148" s="101"/>
      <c r="I1148" s="101"/>
      <c r="J1148" s="106"/>
      <c r="K1148" s="74"/>
    </row>
    <row r="1149" spans="1:11" ht="25.5" x14ac:dyDescent="0.2">
      <c r="A1149" s="234"/>
      <c r="B1149" s="25" t="s">
        <v>461</v>
      </c>
      <c r="C1149" s="17"/>
      <c r="D1149" s="29"/>
      <c r="E1149" s="23"/>
      <c r="F1149" s="249"/>
      <c r="H1149" s="101"/>
      <c r="I1149" s="101"/>
      <c r="J1149" s="106"/>
      <c r="K1149" s="74"/>
    </row>
    <row r="1150" spans="1:11" x14ac:dyDescent="0.2">
      <c r="A1150" s="339"/>
      <c r="B1150" s="381" t="s">
        <v>42</v>
      </c>
      <c r="C1150" s="363"/>
      <c r="D1150" s="342"/>
      <c r="E1150" s="366"/>
      <c r="F1150" s="344"/>
      <c r="H1150" s="101"/>
      <c r="I1150" s="101"/>
      <c r="J1150" s="106"/>
      <c r="K1150" s="74"/>
    </row>
    <row r="1151" spans="1:11" x14ac:dyDescent="0.2">
      <c r="A1151" s="234"/>
      <c r="B1151" s="34"/>
      <c r="C1151" s="17"/>
      <c r="D1151" s="29"/>
      <c r="E1151" s="23"/>
      <c r="F1151" s="249"/>
      <c r="H1151" s="101"/>
      <c r="I1151" s="101"/>
      <c r="J1151" s="106"/>
      <c r="K1151" s="74"/>
    </row>
    <row r="1152" spans="1:11" ht="25.5" x14ac:dyDescent="0.2">
      <c r="A1152" s="234"/>
      <c r="B1152" s="25" t="s">
        <v>866</v>
      </c>
      <c r="C1152" s="17"/>
      <c r="D1152" s="29"/>
      <c r="E1152" s="23"/>
      <c r="F1152" s="249"/>
      <c r="H1152" s="101"/>
      <c r="I1152" s="101"/>
      <c r="J1152" s="106"/>
      <c r="K1152" s="74"/>
    </row>
    <row r="1153" spans="1:10" s="74" customFormat="1" x14ac:dyDescent="0.2">
      <c r="A1153" s="234"/>
      <c r="B1153" s="26" t="s">
        <v>862</v>
      </c>
      <c r="C1153" s="17"/>
      <c r="D1153" s="29"/>
      <c r="E1153" s="23"/>
      <c r="F1153" s="242"/>
      <c r="H1153" s="66"/>
      <c r="I1153" s="101"/>
      <c r="J1153" s="106"/>
    </row>
    <row r="1154" spans="1:10" s="74" customFormat="1" ht="25.5" x14ac:dyDescent="0.2">
      <c r="A1154" s="234"/>
      <c r="B1154" s="26" t="s">
        <v>871</v>
      </c>
      <c r="C1154" s="62" t="s">
        <v>39</v>
      </c>
      <c r="D1154" s="29">
        <f>2.77*5*(2.53+3.95+0.5+0.8+0.8+1)+1.1*5*1.2</f>
        <v>139.28299999999999</v>
      </c>
      <c r="E1154" s="12"/>
      <c r="F1154" s="249">
        <f>D1154*E1154</f>
        <v>0</v>
      </c>
      <c r="H1154" s="66"/>
      <c r="I1154" s="101"/>
      <c r="J1154" s="106"/>
    </row>
    <row r="1155" spans="1:10" s="74" customFormat="1" x14ac:dyDescent="0.2">
      <c r="A1155" s="247"/>
      <c r="B1155" s="12"/>
      <c r="C1155" s="62"/>
      <c r="D1155" s="29"/>
      <c r="E1155" s="25"/>
      <c r="F1155" s="235"/>
      <c r="H1155" s="66"/>
      <c r="I1155" s="101"/>
      <c r="J1155" s="106"/>
    </row>
    <row r="1156" spans="1:10" s="74" customFormat="1" ht="25.5" x14ac:dyDescent="0.2">
      <c r="A1156" s="234" t="s">
        <v>152</v>
      </c>
      <c r="B1156" s="20" t="s">
        <v>462</v>
      </c>
      <c r="C1156" s="62"/>
      <c r="D1156" s="29"/>
      <c r="E1156" s="25"/>
      <c r="F1156" s="235"/>
      <c r="H1156" s="66"/>
      <c r="I1156" s="101"/>
      <c r="J1156" s="106"/>
    </row>
    <row r="1157" spans="1:10" s="74" customFormat="1" ht="102" x14ac:dyDescent="0.2">
      <c r="A1157" s="234"/>
      <c r="B1157" s="20" t="s">
        <v>679</v>
      </c>
      <c r="C1157" s="62"/>
      <c r="D1157" s="29"/>
      <c r="E1157" s="25"/>
      <c r="F1157" s="235"/>
      <c r="H1157" s="66"/>
      <c r="I1157" s="101"/>
      <c r="J1157" s="106"/>
    </row>
    <row r="1158" spans="1:10" s="74" customFormat="1" ht="51" x14ac:dyDescent="0.2">
      <c r="A1158" s="234"/>
      <c r="B1158" s="20" t="s">
        <v>463</v>
      </c>
      <c r="C1158" s="62"/>
      <c r="D1158" s="29"/>
      <c r="E1158" s="25"/>
      <c r="F1158" s="235"/>
      <c r="H1158" s="66"/>
      <c r="I1158" s="101"/>
      <c r="J1158" s="106"/>
    </row>
    <row r="1159" spans="1:10" s="74" customFormat="1" ht="76.5" x14ac:dyDescent="0.2">
      <c r="A1159" s="234"/>
      <c r="B1159" s="33" t="s">
        <v>464</v>
      </c>
      <c r="C1159" s="62"/>
      <c r="D1159" s="29"/>
      <c r="E1159" s="25"/>
      <c r="F1159" s="235"/>
      <c r="H1159" s="66"/>
      <c r="I1159" s="101"/>
      <c r="J1159" s="106"/>
    </row>
    <row r="1160" spans="1:10" s="74" customFormat="1" ht="51" x14ac:dyDescent="0.2">
      <c r="A1160" s="234"/>
      <c r="B1160" s="33" t="s">
        <v>465</v>
      </c>
      <c r="C1160" s="62"/>
      <c r="D1160" s="29"/>
      <c r="E1160" s="25"/>
      <c r="F1160" s="235"/>
      <c r="H1160" s="66"/>
      <c r="I1160" s="101"/>
      <c r="J1160" s="106"/>
    </row>
    <row r="1161" spans="1:10" s="74" customFormat="1" x14ac:dyDescent="0.2">
      <c r="A1161" s="234"/>
      <c r="B1161" s="33" t="s">
        <v>466</v>
      </c>
      <c r="C1161" s="62"/>
      <c r="D1161" s="29"/>
      <c r="E1161" s="25"/>
      <c r="F1161" s="235"/>
      <c r="H1161" s="66"/>
      <c r="I1161" s="101"/>
      <c r="J1161" s="106"/>
    </row>
    <row r="1162" spans="1:10" s="74" customFormat="1" x14ac:dyDescent="0.2">
      <c r="A1162" s="234"/>
      <c r="B1162" s="139"/>
      <c r="C1162" s="62"/>
      <c r="D1162" s="29"/>
      <c r="E1162" s="25"/>
      <c r="F1162" s="235"/>
      <c r="H1162" s="66"/>
      <c r="I1162" s="101"/>
      <c r="J1162" s="106"/>
    </row>
    <row r="1163" spans="1:10" s="74" customFormat="1" x14ac:dyDescent="0.2">
      <c r="A1163" s="234"/>
      <c r="B1163" s="139" t="s">
        <v>874</v>
      </c>
      <c r="C1163" s="62"/>
      <c r="D1163" s="29"/>
      <c r="E1163" s="25"/>
      <c r="F1163" s="235"/>
      <c r="H1163" s="66"/>
      <c r="I1163" s="101"/>
      <c r="J1163" s="106"/>
    </row>
    <row r="1164" spans="1:10" s="74" customFormat="1" x14ac:dyDescent="0.2">
      <c r="A1164" s="234"/>
      <c r="B1164" s="139"/>
      <c r="C1164" s="62"/>
      <c r="D1164" s="29"/>
      <c r="E1164" s="25"/>
      <c r="F1164" s="235"/>
      <c r="H1164" s="66"/>
      <c r="I1164" s="101"/>
      <c r="J1164" s="106"/>
    </row>
    <row r="1165" spans="1:10" s="74" customFormat="1" x14ac:dyDescent="0.2">
      <c r="A1165" s="234"/>
      <c r="B1165" s="12" t="s">
        <v>28</v>
      </c>
      <c r="C1165" s="62"/>
      <c r="D1165" s="29"/>
      <c r="E1165" s="25"/>
      <c r="F1165" s="235"/>
      <c r="H1165" s="66"/>
      <c r="I1165" s="101"/>
      <c r="J1165" s="106"/>
    </row>
    <row r="1166" spans="1:10" s="74" customFormat="1" ht="51" x14ac:dyDescent="0.2">
      <c r="A1166" s="234"/>
      <c r="B1166" s="24" t="s">
        <v>875</v>
      </c>
      <c r="C1166" s="62"/>
      <c r="D1166" s="52">
        <f>5.87+4.33+11.56+11.41+1.24+1.59+3.25+20.34+4.36+4.18+12.68+3.22+22.85+4.67+4.69+2.5+21.45+4.37+4.13+11.61+11.23+1.24+1.57+14.25</f>
        <v>188.59</v>
      </c>
      <c r="E1166" s="25"/>
      <c r="F1166" s="235"/>
      <c r="H1166" s="66"/>
      <c r="I1166" s="101">
        <f>14*8</f>
        <v>112</v>
      </c>
      <c r="J1166" s="106"/>
    </row>
    <row r="1167" spans="1:10" s="74" customFormat="1" x14ac:dyDescent="0.2">
      <c r="A1167" s="234"/>
      <c r="B1167" s="12"/>
      <c r="C1167" s="62"/>
      <c r="D1167" s="29"/>
      <c r="E1167" s="25"/>
      <c r="F1167" s="235"/>
      <c r="H1167" s="66"/>
      <c r="I1167" s="101">
        <f>112+16+8+40</f>
        <v>176</v>
      </c>
      <c r="J1167" s="106"/>
    </row>
    <row r="1168" spans="1:10" s="74" customFormat="1" x14ac:dyDescent="0.2">
      <c r="A1168" s="234"/>
      <c r="B1168" s="12" t="s">
        <v>746</v>
      </c>
      <c r="C1168" s="62"/>
      <c r="D1168" s="29"/>
      <c r="E1168" s="25"/>
      <c r="F1168" s="235"/>
      <c r="H1168" s="66"/>
      <c r="I1168" s="101"/>
      <c r="J1168" s="106"/>
    </row>
    <row r="1169" spans="1:10" s="74" customFormat="1" x14ac:dyDescent="0.2">
      <c r="A1169" s="234"/>
      <c r="B1169" s="19" t="s">
        <v>887</v>
      </c>
      <c r="C1169" s="62"/>
      <c r="D1169" s="312">
        <f>3.45*(3.05+4.52)</f>
        <v>26.116499999999998</v>
      </c>
      <c r="E1169" s="25"/>
      <c r="F1169" s="235"/>
      <c r="H1169" s="66"/>
      <c r="I1169" s="101"/>
      <c r="J1169" s="106"/>
    </row>
    <row r="1170" spans="1:10" s="74" customFormat="1" x14ac:dyDescent="0.2">
      <c r="A1170" s="234"/>
      <c r="B1170" s="12"/>
      <c r="C1170" s="62"/>
      <c r="D1170" s="29"/>
      <c r="E1170" s="25"/>
      <c r="F1170" s="235"/>
      <c r="H1170" s="66"/>
      <c r="I1170" s="101"/>
      <c r="J1170" s="106"/>
    </row>
    <row r="1171" spans="1:10" s="74" customFormat="1" x14ac:dyDescent="0.2">
      <c r="A1171" s="234"/>
      <c r="B1171" s="19" t="s">
        <v>1650</v>
      </c>
      <c r="C1171" s="62" t="s">
        <v>39</v>
      </c>
      <c r="D1171" s="29">
        <f>SUM(D1166:D1170)</f>
        <v>214.70650000000001</v>
      </c>
      <c r="E1171" s="12"/>
      <c r="F1171" s="249">
        <f>D1171*E1171</f>
        <v>0</v>
      </c>
      <c r="G1171" s="11"/>
      <c r="H1171" s="66"/>
      <c r="I1171" s="101"/>
      <c r="J1171" s="106"/>
    </row>
    <row r="1172" spans="1:10" s="74" customFormat="1" x14ac:dyDescent="0.2">
      <c r="A1172" s="234"/>
      <c r="B1172" s="12"/>
      <c r="C1172" s="62"/>
      <c r="D1172" s="29"/>
      <c r="E1172" s="25"/>
      <c r="F1172" s="235"/>
      <c r="H1172" s="66"/>
      <c r="I1172" s="101"/>
      <c r="J1172" s="106"/>
    </row>
    <row r="1173" spans="1:10" s="74" customFormat="1" ht="38.25" x14ac:dyDescent="0.2">
      <c r="A1173" s="234" t="s">
        <v>153</v>
      </c>
      <c r="B1173" s="20" t="s">
        <v>467</v>
      </c>
      <c r="C1173" s="62"/>
      <c r="D1173" s="29"/>
      <c r="E1173" s="25"/>
      <c r="F1173" s="235"/>
      <c r="H1173" s="66"/>
      <c r="I1173" s="101"/>
      <c r="J1173" s="106"/>
    </row>
    <row r="1174" spans="1:10" s="74" customFormat="1" ht="38.25" x14ac:dyDescent="0.2">
      <c r="A1174" s="339"/>
      <c r="B1174" s="352" t="s">
        <v>468</v>
      </c>
      <c r="C1174" s="341"/>
      <c r="D1174" s="342"/>
      <c r="E1174" s="347"/>
      <c r="F1174" s="349"/>
      <c r="H1174" s="66"/>
      <c r="I1174" s="101"/>
      <c r="J1174" s="106"/>
    </row>
    <row r="1175" spans="1:10" s="74" customFormat="1" x14ac:dyDescent="0.2">
      <c r="A1175" s="234"/>
      <c r="B1175" s="20"/>
      <c r="C1175" s="62"/>
      <c r="D1175" s="29"/>
      <c r="E1175" s="25"/>
      <c r="F1175" s="235"/>
      <c r="H1175" s="66"/>
      <c r="I1175" s="101"/>
      <c r="J1175" s="106"/>
    </row>
    <row r="1176" spans="1:10" s="74" customFormat="1" ht="38.25" x14ac:dyDescent="0.2">
      <c r="A1176" s="234"/>
      <c r="B1176" s="24" t="s">
        <v>469</v>
      </c>
      <c r="C1176" s="62"/>
      <c r="D1176" s="29"/>
      <c r="E1176" s="25"/>
      <c r="F1176" s="235"/>
      <c r="H1176" s="66"/>
      <c r="I1176" s="101"/>
      <c r="J1176" s="106"/>
    </row>
    <row r="1177" spans="1:10" s="74" customFormat="1" ht="38.25" x14ac:dyDescent="0.2">
      <c r="A1177" s="234"/>
      <c r="B1177" s="109" t="s">
        <v>470</v>
      </c>
      <c r="C1177" s="62"/>
      <c r="D1177" s="29"/>
      <c r="E1177" s="25"/>
      <c r="F1177" s="235"/>
      <c r="H1177" s="66"/>
      <c r="I1177" s="101"/>
      <c r="J1177" s="106"/>
    </row>
    <row r="1178" spans="1:10" s="74" customFormat="1" x14ac:dyDescent="0.2">
      <c r="A1178" s="234"/>
      <c r="B1178" s="24" t="s">
        <v>471</v>
      </c>
      <c r="C1178" s="62"/>
      <c r="D1178" s="29"/>
      <c r="E1178" s="25"/>
      <c r="F1178" s="235"/>
      <c r="H1178" s="66"/>
      <c r="I1178" s="101"/>
      <c r="J1178" s="106"/>
    </row>
    <row r="1179" spans="1:10" s="74" customFormat="1" ht="38.25" x14ac:dyDescent="0.2">
      <c r="A1179" s="234"/>
      <c r="B1179" s="74" t="s">
        <v>472</v>
      </c>
      <c r="C1179" s="62"/>
      <c r="D1179" s="52"/>
      <c r="E1179" s="25"/>
      <c r="F1179" s="235"/>
      <c r="H1179" s="66"/>
      <c r="I1179" s="101"/>
      <c r="J1179" s="106"/>
    </row>
    <row r="1180" spans="1:10" s="74" customFormat="1" ht="51" x14ac:dyDescent="0.2">
      <c r="A1180" s="234"/>
      <c r="B1180" s="33" t="s">
        <v>465</v>
      </c>
      <c r="C1180" s="62"/>
      <c r="D1180" s="29"/>
      <c r="E1180" s="25"/>
      <c r="F1180" s="235"/>
      <c r="H1180" s="66"/>
      <c r="I1180" s="101"/>
      <c r="J1180" s="106"/>
    </row>
    <row r="1181" spans="1:10" s="74" customFormat="1" x14ac:dyDescent="0.2">
      <c r="A1181" s="234"/>
      <c r="B1181" s="33" t="s">
        <v>466</v>
      </c>
      <c r="C1181" s="62"/>
      <c r="D1181" s="29"/>
      <c r="E1181" s="25"/>
      <c r="F1181" s="235"/>
      <c r="H1181" s="66"/>
      <c r="I1181" s="101"/>
      <c r="J1181" s="106"/>
    </row>
    <row r="1182" spans="1:10" s="74" customFormat="1" x14ac:dyDescent="0.2">
      <c r="A1182" s="234"/>
      <c r="B1182" s="20"/>
      <c r="C1182" s="62"/>
      <c r="D1182" s="52"/>
      <c r="E1182" s="25"/>
      <c r="F1182" s="235"/>
      <c r="H1182" s="66"/>
      <c r="I1182" s="101"/>
      <c r="J1182" s="106"/>
    </row>
    <row r="1183" spans="1:10" s="74" customFormat="1" ht="38.25" x14ac:dyDescent="0.2">
      <c r="A1183" s="247" t="s">
        <v>286</v>
      </c>
      <c r="B1183" s="20" t="s">
        <v>877</v>
      </c>
      <c r="C1183" s="62"/>
      <c r="D1183" s="29"/>
      <c r="E1183" s="25"/>
      <c r="F1183" s="235"/>
      <c r="H1183" s="66"/>
      <c r="I1183" s="101"/>
      <c r="J1183" s="106"/>
    </row>
    <row r="1184" spans="1:10" s="74" customFormat="1" x14ac:dyDescent="0.2">
      <c r="A1184" s="234"/>
      <c r="B1184" s="24" t="s">
        <v>473</v>
      </c>
      <c r="C1184" s="62"/>
      <c r="D1184" s="29"/>
      <c r="E1184" s="25"/>
      <c r="F1184" s="235"/>
      <c r="H1184" s="66"/>
      <c r="I1184" s="101"/>
      <c r="J1184" s="106"/>
    </row>
    <row r="1185" spans="1:10" s="74" customFormat="1" x14ac:dyDescent="0.2">
      <c r="A1185" s="234"/>
      <c r="B1185" s="109" t="s">
        <v>474</v>
      </c>
      <c r="C1185" s="62"/>
      <c r="D1185" s="312"/>
      <c r="E1185" s="25"/>
      <c r="F1185" s="235"/>
      <c r="H1185" s="66"/>
      <c r="I1185" s="101"/>
      <c r="J1185" s="106"/>
    </row>
    <row r="1186" spans="1:10" s="74" customFormat="1" x14ac:dyDescent="0.2">
      <c r="A1186" s="234"/>
      <c r="B1186" s="24" t="s">
        <v>471</v>
      </c>
      <c r="C1186" s="62"/>
      <c r="D1186" s="29"/>
      <c r="E1186" s="25"/>
      <c r="F1186" s="235"/>
      <c r="H1186" s="66"/>
      <c r="I1186" s="101"/>
      <c r="J1186" s="106"/>
    </row>
    <row r="1187" spans="1:10" s="74" customFormat="1" x14ac:dyDescent="0.2">
      <c r="A1187" s="268"/>
      <c r="B1187" s="25"/>
      <c r="C1187" s="62"/>
      <c r="D1187" s="29"/>
      <c r="E1187" s="25"/>
      <c r="F1187" s="235"/>
      <c r="H1187" s="66"/>
      <c r="I1187" s="101"/>
      <c r="J1187" s="106"/>
    </row>
    <row r="1188" spans="1:10" s="74" customFormat="1" x14ac:dyDescent="0.2">
      <c r="A1188" s="257"/>
      <c r="B1188" s="25" t="s">
        <v>746</v>
      </c>
      <c r="C1188" s="62"/>
      <c r="D1188" s="29"/>
      <c r="E1188" s="25"/>
      <c r="F1188" s="235"/>
      <c r="H1188" s="66"/>
      <c r="I1188" s="101"/>
      <c r="J1188" s="106"/>
    </row>
    <row r="1189" spans="1:10" s="74" customFormat="1" ht="38.25" x14ac:dyDescent="0.2">
      <c r="A1189" s="234"/>
      <c r="B1189" s="26" t="s">
        <v>878</v>
      </c>
      <c r="C1189" s="62"/>
      <c r="D1189" s="29">
        <f>32.45+64.45+37.68+46.01+44.85+37.78+29.98+44.78+64.66+38.94+35.15</f>
        <v>476.72999999999996</v>
      </c>
      <c r="E1189" s="12"/>
      <c r="F1189" s="269"/>
      <c r="G1189" s="11"/>
      <c r="H1189" s="66"/>
      <c r="I1189" s="101"/>
      <c r="J1189" s="106"/>
    </row>
    <row r="1190" spans="1:10" s="74" customFormat="1" x14ac:dyDescent="0.2">
      <c r="A1190" s="234"/>
      <c r="B1190" s="25"/>
      <c r="C1190" s="62"/>
      <c r="D1190" s="29"/>
      <c r="E1190" s="12"/>
      <c r="F1190" s="269"/>
      <c r="G1190" s="11"/>
      <c r="H1190" s="66"/>
      <c r="I1190" s="101"/>
      <c r="J1190" s="106"/>
    </row>
    <row r="1191" spans="1:10" s="74" customFormat="1" x14ac:dyDescent="0.2">
      <c r="A1191" s="234"/>
      <c r="B1191" s="25" t="s">
        <v>876</v>
      </c>
      <c r="C1191" s="62"/>
      <c r="D1191" s="29"/>
      <c r="E1191" s="12"/>
      <c r="F1191" s="269"/>
      <c r="G1191" s="11"/>
      <c r="H1191" s="66"/>
      <c r="I1191" s="101"/>
      <c r="J1191" s="106"/>
    </row>
    <row r="1192" spans="1:10" s="74" customFormat="1" ht="38.25" x14ac:dyDescent="0.2">
      <c r="A1192" s="234"/>
      <c r="B1192" s="26" t="s">
        <v>879</v>
      </c>
      <c r="C1192" s="62"/>
      <c r="D1192" s="29">
        <f>2*(32.45+64.45+37.68+46.01+44.79+37.78+29.15+44.79+64.67+38.87+35.13)</f>
        <v>951.54</v>
      </c>
      <c r="E1192" s="12"/>
      <c r="F1192" s="269"/>
      <c r="G1192" s="11"/>
      <c r="H1192" s="66"/>
      <c r="I1192" s="101"/>
      <c r="J1192" s="106"/>
    </row>
    <row r="1193" spans="1:10" s="74" customFormat="1" x14ac:dyDescent="0.2">
      <c r="A1193" s="234"/>
      <c r="B1193" s="25"/>
      <c r="C1193" s="62"/>
      <c r="D1193" s="29"/>
      <c r="E1193" s="12"/>
      <c r="F1193" s="269"/>
      <c r="G1193" s="11"/>
      <c r="H1193" s="66"/>
      <c r="I1193" s="101"/>
      <c r="J1193" s="106"/>
    </row>
    <row r="1194" spans="1:10" s="74" customFormat="1" x14ac:dyDescent="0.2">
      <c r="A1194" s="234"/>
      <c r="B1194" s="25" t="s">
        <v>776</v>
      </c>
      <c r="C1194" s="62"/>
      <c r="D1194" s="29"/>
      <c r="E1194" s="12"/>
      <c r="F1194" s="269"/>
      <c r="G1194" s="11"/>
      <c r="H1194" s="66"/>
      <c r="I1194" s="101"/>
      <c r="J1194" s="106"/>
    </row>
    <row r="1195" spans="1:10" s="74" customFormat="1" ht="25.5" x14ac:dyDescent="0.2">
      <c r="A1195" s="234"/>
      <c r="B1195" s="26" t="s">
        <v>880</v>
      </c>
      <c r="C1195" s="17"/>
      <c r="D1195" s="29">
        <f>32.45+64.45+37.68+45.56+44.79+37.78+29.33+44.75+64.65+37.8+34.98</f>
        <v>474.22000000000008</v>
      </c>
      <c r="E1195" s="12"/>
      <c r="F1195" s="269"/>
      <c r="G1195" s="11"/>
      <c r="H1195" s="66"/>
      <c r="I1195" s="101"/>
      <c r="J1195" s="106"/>
    </row>
    <row r="1196" spans="1:10" s="74" customFormat="1" x14ac:dyDescent="0.2">
      <c r="A1196" s="234"/>
      <c r="B1196" s="12"/>
      <c r="C1196" s="62"/>
      <c r="D1196" s="29"/>
      <c r="E1196" s="12"/>
      <c r="F1196" s="269"/>
      <c r="G1196" s="11"/>
      <c r="H1196" s="66"/>
      <c r="I1196" s="101"/>
      <c r="J1196" s="106"/>
    </row>
    <row r="1197" spans="1:10" s="74" customFormat="1" x14ac:dyDescent="0.2">
      <c r="A1197" s="234"/>
      <c r="B1197" s="139" t="s">
        <v>1651</v>
      </c>
      <c r="C1197" s="17" t="s">
        <v>39</v>
      </c>
      <c r="D1197" s="29">
        <f>SUM(D1187:D1196)</f>
        <v>1902.49</v>
      </c>
      <c r="E1197" s="38"/>
      <c r="F1197" s="249">
        <f>D1197*E1197</f>
        <v>0</v>
      </c>
      <c r="G1197" s="203"/>
      <c r="H1197" s="66"/>
      <c r="I1197" s="101"/>
      <c r="J1197" s="106"/>
    </row>
    <row r="1198" spans="1:10" s="74" customFormat="1" x14ac:dyDescent="0.2">
      <c r="A1198" s="234"/>
      <c r="B1198" s="20"/>
      <c r="C1198" s="17"/>
      <c r="D1198" s="29"/>
      <c r="E1198" s="23"/>
      <c r="F1198" s="249"/>
      <c r="G1198" s="89"/>
      <c r="H1198" s="66"/>
      <c r="I1198" s="101"/>
      <c r="J1198" s="106"/>
    </row>
    <row r="1199" spans="1:10" s="74" customFormat="1" x14ac:dyDescent="0.2">
      <c r="A1199" s="251" t="s">
        <v>287</v>
      </c>
      <c r="B1199" s="20" t="s">
        <v>475</v>
      </c>
      <c r="C1199" s="17"/>
      <c r="D1199" s="29"/>
      <c r="E1199" s="23"/>
      <c r="F1199" s="249"/>
      <c r="G1199" s="89"/>
      <c r="H1199" s="66"/>
      <c r="I1199" s="101"/>
      <c r="J1199" s="106"/>
    </row>
    <row r="1200" spans="1:10" s="74" customFormat="1" x14ac:dyDescent="0.2">
      <c r="A1200" s="251"/>
      <c r="B1200" s="24" t="s">
        <v>473</v>
      </c>
      <c r="C1200" s="17"/>
      <c r="D1200" s="29"/>
      <c r="E1200" s="23"/>
      <c r="F1200" s="249"/>
      <c r="G1200" s="89"/>
      <c r="H1200" s="66"/>
      <c r="I1200" s="101"/>
      <c r="J1200" s="106"/>
    </row>
    <row r="1201" spans="1:10" s="74" customFormat="1" x14ac:dyDescent="0.2">
      <c r="A1201" s="234"/>
      <c r="B1201" s="109" t="s">
        <v>476</v>
      </c>
      <c r="C1201" s="17"/>
      <c r="D1201" s="29"/>
      <c r="E1201" s="23"/>
      <c r="F1201" s="249"/>
      <c r="G1201" s="89"/>
      <c r="H1201" s="66"/>
      <c r="I1201" s="101"/>
      <c r="J1201" s="106"/>
    </row>
    <row r="1202" spans="1:10" s="74" customFormat="1" x14ac:dyDescent="0.2">
      <c r="A1202" s="234"/>
      <c r="B1202" s="24" t="s">
        <v>471</v>
      </c>
      <c r="C1202" s="17"/>
      <c r="D1202" s="29"/>
      <c r="E1202" s="23"/>
      <c r="F1202" s="249"/>
      <c r="G1202" s="89"/>
      <c r="H1202" s="66"/>
      <c r="I1202" s="101"/>
      <c r="J1202" s="106"/>
    </row>
    <row r="1203" spans="1:10" s="74" customFormat="1" x14ac:dyDescent="0.2">
      <c r="A1203" s="234"/>
      <c r="B1203" s="20"/>
      <c r="C1203" s="17"/>
      <c r="D1203" s="29"/>
      <c r="E1203" s="23"/>
      <c r="F1203" s="249"/>
      <c r="G1203" s="89"/>
      <c r="H1203" s="66"/>
      <c r="I1203" s="101"/>
      <c r="J1203" s="106"/>
    </row>
    <row r="1204" spans="1:10" s="74" customFormat="1" x14ac:dyDescent="0.2">
      <c r="A1204" s="234"/>
      <c r="B1204" s="25" t="s">
        <v>746</v>
      </c>
      <c r="C1204" s="17"/>
      <c r="D1204" s="29">
        <v>59.65</v>
      </c>
      <c r="E1204" s="23"/>
      <c r="F1204" s="249"/>
      <c r="G1204" s="89"/>
      <c r="H1204" s="66"/>
      <c r="I1204" s="101"/>
      <c r="J1204" s="106"/>
    </row>
    <row r="1205" spans="1:10" s="74" customFormat="1" x14ac:dyDescent="0.2">
      <c r="A1205" s="234"/>
      <c r="B1205" s="25"/>
      <c r="C1205" s="17"/>
      <c r="D1205" s="29"/>
      <c r="E1205" s="23"/>
      <c r="F1205" s="249"/>
      <c r="G1205" s="89"/>
      <c r="H1205" s="66"/>
      <c r="I1205" s="101"/>
      <c r="J1205" s="106"/>
    </row>
    <row r="1206" spans="1:10" s="74" customFormat="1" x14ac:dyDescent="0.2">
      <c r="A1206" s="234"/>
      <c r="B1206" s="25" t="s">
        <v>881</v>
      </c>
      <c r="C1206" s="17"/>
      <c r="D1206" s="29">
        <f>59.75*2</f>
        <v>119.5</v>
      </c>
      <c r="E1206" s="23"/>
      <c r="F1206" s="249"/>
      <c r="G1206" s="89"/>
      <c r="H1206" s="66"/>
      <c r="I1206" s="101"/>
      <c r="J1206" s="106"/>
    </row>
    <row r="1207" spans="1:10" s="74" customFormat="1" x14ac:dyDescent="0.2">
      <c r="A1207" s="234"/>
      <c r="B1207" s="24"/>
      <c r="C1207" s="17"/>
      <c r="D1207" s="29"/>
      <c r="E1207" s="23"/>
      <c r="F1207" s="249"/>
      <c r="G1207" s="89"/>
      <c r="H1207" s="66"/>
      <c r="I1207" s="101"/>
      <c r="J1207" s="106"/>
    </row>
    <row r="1208" spans="1:10" s="74" customFormat="1" x14ac:dyDescent="0.2">
      <c r="A1208" s="234"/>
      <c r="B1208" s="24" t="s">
        <v>776</v>
      </c>
      <c r="C1208" s="17"/>
      <c r="D1208" s="29">
        <v>59.71</v>
      </c>
      <c r="E1208" s="23"/>
      <c r="F1208" s="249"/>
      <c r="G1208" s="89"/>
      <c r="H1208" s="66"/>
      <c r="I1208" s="101"/>
      <c r="J1208" s="106"/>
    </row>
    <row r="1209" spans="1:10" s="74" customFormat="1" x14ac:dyDescent="0.2">
      <c r="A1209" s="234"/>
      <c r="B1209" s="24"/>
      <c r="C1209" s="17"/>
      <c r="D1209" s="29"/>
      <c r="E1209" s="23"/>
      <c r="F1209" s="249"/>
      <c r="G1209" s="89"/>
      <c r="H1209" s="66"/>
      <c r="I1209" s="101"/>
      <c r="J1209" s="106"/>
    </row>
    <row r="1210" spans="1:10" s="74" customFormat="1" x14ac:dyDescent="0.2">
      <c r="A1210" s="339"/>
      <c r="B1210" s="376" t="s">
        <v>1652</v>
      </c>
      <c r="C1210" s="363" t="s">
        <v>39</v>
      </c>
      <c r="D1210" s="342">
        <f>SUM(D1202:D1209)</f>
        <v>238.86</v>
      </c>
      <c r="E1210" s="382"/>
      <c r="F1210" s="344">
        <f>D1210*E1210</f>
        <v>0</v>
      </c>
      <c r="G1210" s="203"/>
      <c r="H1210" s="66"/>
      <c r="I1210" s="101"/>
      <c r="J1210" s="106"/>
    </row>
    <row r="1211" spans="1:10" s="74" customFormat="1" x14ac:dyDescent="0.2">
      <c r="A1211" s="234"/>
      <c r="B1211" s="12"/>
      <c r="C1211" s="62"/>
      <c r="D1211" s="29"/>
      <c r="E1211" s="12"/>
      <c r="F1211" s="235"/>
      <c r="G1211" s="11"/>
      <c r="H1211" s="66"/>
      <c r="I1211" s="101"/>
      <c r="J1211" s="106"/>
    </row>
    <row r="1212" spans="1:10" s="74" customFormat="1" ht="51" x14ac:dyDescent="0.2">
      <c r="A1212" s="234" t="s">
        <v>213</v>
      </c>
      <c r="B1212" s="20" t="s">
        <v>477</v>
      </c>
      <c r="C1212" s="17"/>
      <c r="D1212" s="29"/>
      <c r="E1212" s="23"/>
      <c r="F1212" s="249"/>
      <c r="G1212" s="89"/>
      <c r="H1212" s="66"/>
      <c r="I1212" s="101"/>
      <c r="J1212" s="106"/>
    </row>
    <row r="1213" spans="1:10" s="74" customFormat="1" ht="38.25" x14ac:dyDescent="0.2">
      <c r="A1213" s="234"/>
      <c r="B1213" s="20" t="s">
        <v>478</v>
      </c>
      <c r="C1213" s="17"/>
      <c r="D1213" s="29"/>
      <c r="E1213" s="23"/>
      <c r="F1213" s="249"/>
      <c r="G1213" s="89"/>
      <c r="H1213" s="66"/>
      <c r="I1213" s="101"/>
      <c r="J1213" s="106"/>
    </row>
    <row r="1214" spans="1:10" s="74" customFormat="1" ht="38.25" x14ac:dyDescent="0.2">
      <c r="A1214" s="234"/>
      <c r="B1214" s="24" t="s">
        <v>479</v>
      </c>
      <c r="C1214" s="17"/>
      <c r="D1214" s="29"/>
      <c r="E1214" s="23"/>
      <c r="F1214" s="249"/>
      <c r="G1214" s="89"/>
      <c r="H1214" s="66"/>
      <c r="I1214" s="101"/>
      <c r="J1214" s="106"/>
    </row>
    <row r="1215" spans="1:10" s="74" customFormat="1" ht="25.5" x14ac:dyDescent="0.2">
      <c r="A1215" s="234"/>
      <c r="B1215" s="24" t="s">
        <v>480</v>
      </c>
      <c r="C1215" s="17"/>
      <c r="D1215" s="29"/>
      <c r="E1215" s="23"/>
      <c r="F1215" s="249"/>
      <c r="G1215" s="89"/>
      <c r="H1215" s="66"/>
      <c r="I1215" s="101"/>
      <c r="J1215" s="106"/>
    </row>
    <row r="1216" spans="1:10" s="74" customFormat="1" ht="51" x14ac:dyDescent="0.2">
      <c r="A1216" s="234"/>
      <c r="B1216" s="33" t="s">
        <v>465</v>
      </c>
      <c r="C1216" s="17"/>
      <c r="D1216" s="29"/>
      <c r="E1216" s="23"/>
      <c r="F1216" s="249"/>
      <c r="G1216" s="89"/>
      <c r="H1216" s="66"/>
      <c r="I1216" s="101"/>
      <c r="J1216" s="106"/>
    </row>
    <row r="1217" spans="1:10" s="74" customFormat="1" x14ac:dyDescent="0.2">
      <c r="A1217" s="234"/>
      <c r="B1217" s="33" t="s">
        <v>466</v>
      </c>
      <c r="C1217" s="17"/>
      <c r="D1217" s="29"/>
      <c r="E1217" s="23"/>
      <c r="F1217" s="249"/>
      <c r="G1217" s="89"/>
      <c r="H1217" s="66"/>
      <c r="I1217" s="101"/>
      <c r="J1217" s="106"/>
    </row>
    <row r="1218" spans="1:10" s="74" customFormat="1" x14ac:dyDescent="0.2">
      <c r="A1218" s="234"/>
      <c r="B1218" s="20"/>
      <c r="C1218" s="17"/>
      <c r="D1218" s="29"/>
      <c r="E1218" s="23"/>
      <c r="F1218" s="249"/>
      <c r="G1218" s="89">
        <f>478.68+87.11</f>
        <v>565.79</v>
      </c>
      <c r="H1218" s="66"/>
      <c r="I1218" s="101"/>
      <c r="J1218" s="106"/>
    </row>
    <row r="1219" spans="1:10" s="74" customFormat="1" ht="25.5" x14ac:dyDescent="0.2">
      <c r="A1219" s="234"/>
      <c r="B1219" s="20" t="s">
        <v>481</v>
      </c>
      <c r="C1219" s="17"/>
      <c r="D1219" s="29"/>
      <c r="E1219" s="23"/>
      <c r="F1219" s="249"/>
      <c r="G1219" s="89"/>
      <c r="H1219" s="66"/>
      <c r="I1219" s="101"/>
      <c r="J1219" s="106"/>
    </row>
    <row r="1220" spans="1:10" s="74" customFormat="1" x14ac:dyDescent="0.2">
      <c r="A1220" s="234"/>
      <c r="B1220" s="24" t="s">
        <v>911</v>
      </c>
      <c r="C1220" s="17" t="s">
        <v>39</v>
      </c>
      <c r="D1220" s="52">
        <f>40.56+42.33+18.47*3+340.38</f>
        <v>478.68</v>
      </c>
      <c r="E1220" s="12"/>
      <c r="F1220" s="249">
        <f>D1220*E1220</f>
        <v>0</v>
      </c>
      <c r="G1220" s="203">
        <f>32.45+64.45+37.68+45.56+44.79+37.78+29.33+44.75+64.65+37.8+34.98+70.23</f>
        <v>544.45000000000005</v>
      </c>
      <c r="H1220" s="66"/>
      <c r="I1220" s="101"/>
      <c r="J1220" s="106"/>
    </row>
    <row r="1221" spans="1:10" s="74" customFormat="1" x14ac:dyDescent="0.2">
      <c r="A1221" s="234"/>
      <c r="B1221" s="61"/>
      <c r="C1221" s="61"/>
      <c r="D1221" s="65"/>
      <c r="E1221" s="25"/>
      <c r="F1221" s="242"/>
      <c r="H1221" s="66"/>
      <c r="I1221" s="101"/>
      <c r="J1221" s="106"/>
    </row>
    <row r="1222" spans="1:10" s="74" customFormat="1" ht="51" x14ac:dyDescent="0.2">
      <c r="A1222" s="234" t="s">
        <v>218</v>
      </c>
      <c r="B1222" s="61" t="s">
        <v>915</v>
      </c>
      <c r="C1222" s="61"/>
      <c r="D1222" s="65"/>
      <c r="E1222" s="25"/>
      <c r="F1222" s="242"/>
      <c r="H1222" s="66"/>
      <c r="I1222" s="101"/>
      <c r="J1222" s="106"/>
    </row>
    <row r="1223" spans="1:10" s="74" customFormat="1" ht="76.5" x14ac:dyDescent="0.2">
      <c r="A1223" s="234"/>
      <c r="B1223" s="61" t="s">
        <v>921</v>
      </c>
      <c r="C1223" s="61"/>
      <c r="D1223" s="65"/>
      <c r="E1223" s="25"/>
      <c r="F1223" s="242"/>
      <c r="H1223" s="66"/>
      <c r="I1223" s="101"/>
      <c r="J1223" s="106"/>
    </row>
    <row r="1224" spans="1:10" s="74" customFormat="1" ht="51" x14ac:dyDescent="0.2">
      <c r="A1224" s="234"/>
      <c r="B1224" s="33" t="s">
        <v>465</v>
      </c>
      <c r="C1224" s="61"/>
      <c r="D1224" s="65"/>
      <c r="E1224" s="25"/>
      <c r="F1224" s="242"/>
      <c r="H1224" s="66"/>
      <c r="I1224" s="101"/>
      <c r="J1224" s="106"/>
    </row>
    <row r="1225" spans="1:10" s="74" customFormat="1" x14ac:dyDescent="0.2">
      <c r="A1225" s="234"/>
      <c r="B1225" s="33" t="s">
        <v>466</v>
      </c>
      <c r="C1225" s="61"/>
      <c r="D1225" s="65"/>
      <c r="E1225" s="25"/>
      <c r="F1225" s="242"/>
      <c r="H1225" s="66"/>
      <c r="I1225" s="101"/>
      <c r="J1225" s="106"/>
    </row>
    <row r="1226" spans="1:10" s="74" customFormat="1" x14ac:dyDescent="0.2">
      <c r="A1226" s="234"/>
      <c r="B1226" s="61"/>
      <c r="C1226" s="61"/>
      <c r="D1226" s="65"/>
      <c r="E1226" s="25"/>
      <c r="F1226" s="242"/>
      <c r="H1226" s="66"/>
      <c r="I1226" s="101"/>
      <c r="J1226" s="106"/>
    </row>
    <row r="1227" spans="1:10" s="74" customFormat="1" x14ac:dyDescent="0.2">
      <c r="A1227" s="234"/>
      <c r="B1227" s="61" t="s">
        <v>907</v>
      </c>
      <c r="C1227" s="61"/>
      <c r="D1227" s="65"/>
      <c r="E1227" s="25"/>
      <c r="F1227" s="242"/>
      <c r="H1227" s="66">
        <f>18.47*2+42.33+40.56+18.47</f>
        <v>138.30000000000001</v>
      </c>
      <c r="I1227" s="101"/>
      <c r="J1227" s="106"/>
    </row>
    <row r="1228" spans="1:10" s="74" customFormat="1" ht="25.5" x14ac:dyDescent="0.2">
      <c r="A1228" s="234"/>
      <c r="B1228" s="60" t="s">
        <v>908</v>
      </c>
      <c r="C1228" s="17" t="s">
        <v>39</v>
      </c>
      <c r="D1228" s="29">
        <f>(12+12.64+4.6+5.7+1.7+2.45+1.63+12.7+12.26+4.8+7.6)/0.9355</f>
        <v>83.463388562266175</v>
      </c>
      <c r="E1228" s="12"/>
      <c r="F1228" s="249">
        <f>D1228*E1228</f>
        <v>0</v>
      </c>
      <c r="H1228" s="66">
        <f>138.3/0.991</f>
        <v>139.55600403632695</v>
      </c>
      <c r="I1228" s="101"/>
      <c r="J1228" s="106"/>
    </row>
    <row r="1229" spans="1:10" s="74" customFormat="1" x14ac:dyDescent="0.2">
      <c r="A1229" s="234"/>
      <c r="B1229" s="61"/>
      <c r="C1229" s="61"/>
      <c r="D1229" s="65"/>
      <c r="E1229" s="25"/>
      <c r="F1229" s="242"/>
      <c r="H1229" s="66"/>
      <c r="I1229" s="101"/>
      <c r="J1229" s="106"/>
    </row>
    <row r="1230" spans="1:10" s="74" customFormat="1" ht="38.25" x14ac:dyDescent="0.2">
      <c r="A1230" s="234" t="s">
        <v>238</v>
      </c>
      <c r="B1230" s="61" t="s">
        <v>916</v>
      </c>
      <c r="C1230" s="61"/>
      <c r="D1230" s="65"/>
      <c r="E1230" s="25"/>
      <c r="F1230" s="242"/>
      <c r="H1230" s="66"/>
      <c r="I1230" s="101"/>
      <c r="J1230" s="106"/>
    </row>
    <row r="1231" spans="1:10" s="74" customFormat="1" x14ac:dyDescent="0.2">
      <c r="A1231" s="234"/>
      <c r="B1231" s="61" t="s">
        <v>917</v>
      </c>
      <c r="C1231" s="61"/>
      <c r="D1231" s="65"/>
      <c r="E1231" s="25"/>
      <c r="F1231" s="242"/>
      <c r="H1231" s="66"/>
      <c r="I1231" s="101"/>
      <c r="J1231" s="106"/>
    </row>
    <row r="1232" spans="1:10" s="74" customFormat="1" ht="51" x14ac:dyDescent="0.2">
      <c r="A1232" s="339"/>
      <c r="B1232" s="356" t="s">
        <v>918</v>
      </c>
      <c r="C1232" s="357"/>
      <c r="D1232" s="348"/>
      <c r="E1232" s="347"/>
      <c r="F1232" s="353"/>
      <c r="H1232" s="66"/>
      <c r="I1232" s="101"/>
      <c r="J1232" s="106"/>
    </row>
    <row r="1233" spans="1:11" s="74" customFormat="1" x14ac:dyDescent="0.2">
      <c r="A1233" s="234"/>
      <c r="B1233" s="60"/>
      <c r="C1233" s="61"/>
      <c r="D1233" s="65"/>
      <c r="E1233" s="25"/>
      <c r="F1233" s="242"/>
      <c r="H1233" s="66"/>
      <c r="I1233" s="101"/>
      <c r="J1233" s="106"/>
    </row>
    <row r="1234" spans="1:11" s="74" customFormat="1" ht="51" x14ac:dyDescent="0.2">
      <c r="A1234" s="234"/>
      <c r="B1234" s="60" t="s">
        <v>919</v>
      </c>
      <c r="C1234" s="61"/>
      <c r="D1234" s="65"/>
      <c r="E1234" s="25"/>
      <c r="F1234" s="242"/>
      <c r="H1234" s="66"/>
      <c r="I1234" s="101"/>
      <c r="J1234" s="106"/>
    </row>
    <row r="1235" spans="1:11" s="74" customFormat="1" ht="76.5" x14ac:dyDescent="0.2">
      <c r="A1235" s="234"/>
      <c r="B1235" s="60" t="s">
        <v>920</v>
      </c>
      <c r="C1235" s="61"/>
      <c r="D1235" s="65"/>
      <c r="E1235" s="25"/>
      <c r="F1235" s="242"/>
      <c r="H1235" s="66"/>
      <c r="I1235" s="101"/>
      <c r="J1235" s="106"/>
    </row>
    <row r="1236" spans="1:11" s="74" customFormat="1" ht="51" x14ac:dyDescent="0.2">
      <c r="A1236" s="234"/>
      <c r="B1236" s="33" t="s">
        <v>465</v>
      </c>
      <c r="C1236" s="61"/>
      <c r="D1236" s="65"/>
      <c r="E1236" s="25"/>
      <c r="F1236" s="242"/>
      <c r="H1236" s="66"/>
      <c r="I1236" s="101"/>
      <c r="J1236" s="106"/>
    </row>
    <row r="1237" spans="1:11" s="74" customFormat="1" x14ac:dyDescent="0.2">
      <c r="A1237" s="234"/>
      <c r="B1237" s="33" t="s">
        <v>466</v>
      </c>
      <c r="C1237" s="17" t="s">
        <v>39</v>
      </c>
      <c r="D1237" s="29">
        <v>39.49</v>
      </c>
      <c r="E1237" s="12"/>
      <c r="F1237" s="249">
        <f>D1237*E1237</f>
        <v>0</v>
      </c>
      <c r="H1237" s="66"/>
      <c r="I1237" s="101"/>
      <c r="J1237" s="106"/>
    </row>
    <row r="1238" spans="1:11" s="74" customFormat="1" x14ac:dyDescent="0.2">
      <c r="A1238" s="234"/>
      <c r="B1238" s="61"/>
      <c r="C1238" s="61"/>
      <c r="D1238" s="65"/>
      <c r="E1238" s="25"/>
      <c r="F1238" s="242"/>
      <c r="H1238" s="66"/>
      <c r="I1238" s="101"/>
      <c r="J1238" s="106"/>
    </row>
    <row r="1239" spans="1:11" s="74" customFormat="1" ht="38.25" x14ac:dyDescent="0.2">
      <c r="A1239" s="234" t="s">
        <v>239</v>
      </c>
      <c r="B1239" s="20" t="s">
        <v>884</v>
      </c>
      <c r="C1239" s="17"/>
      <c r="D1239" s="29"/>
      <c r="E1239" s="23"/>
      <c r="F1239" s="270"/>
      <c r="H1239" s="66"/>
      <c r="I1239" s="101"/>
      <c r="J1239" s="106"/>
    </row>
    <row r="1240" spans="1:11" s="74" customFormat="1" ht="25.5" x14ac:dyDescent="0.2">
      <c r="A1240" s="234"/>
      <c r="B1240" s="20" t="s">
        <v>669</v>
      </c>
      <c r="C1240" s="17"/>
      <c r="D1240" s="29"/>
      <c r="E1240" s="23"/>
      <c r="F1240" s="249"/>
      <c r="H1240" s="66">
        <f>541.95/0.9355</f>
        <v>579.31587386424371</v>
      </c>
      <c r="I1240" s="101"/>
      <c r="J1240" s="106"/>
    </row>
    <row r="1241" spans="1:11" s="74" customFormat="1" ht="38.25" x14ac:dyDescent="0.2">
      <c r="A1241" s="234"/>
      <c r="B1241" s="109" t="s">
        <v>670</v>
      </c>
      <c r="C1241" s="17"/>
      <c r="D1241" s="29"/>
      <c r="E1241" s="23"/>
      <c r="F1241" s="249"/>
      <c r="H1241" s="66"/>
      <c r="I1241" s="101"/>
      <c r="J1241" s="106"/>
    </row>
    <row r="1242" spans="1:11" s="74" customFormat="1" ht="51" x14ac:dyDescent="0.2">
      <c r="A1242" s="234"/>
      <c r="B1242" s="33" t="s">
        <v>465</v>
      </c>
      <c r="C1242" s="17"/>
      <c r="D1242" s="29"/>
      <c r="E1242" s="23"/>
      <c r="F1242" s="249"/>
      <c r="H1242" s="66"/>
      <c r="I1242" s="101"/>
      <c r="J1242" s="106"/>
    </row>
    <row r="1243" spans="1:11" s="74" customFormat="1" x14ac:dyDescent="0.2">
      <c r="A1243" s="234"/>
      <c r="B1243" s="33" t="s">
        <v>466</v>
      </c>
      <c r="C1243" s="17"/>
      <c r="D1243" s="29"/>
      <c r="E1243" s="23"/>
      <c r="F1243" s="249"/>
      <c r="H1243" s="66"/>
      <c r="I1243" s="101"/>
      <c r="J1243" s="106"/>
    </row>
    <row r="1244" spans="1:11" s="74" customFormat="1" x14ac:dyDescent="0.2">
      <c r="A1244" s="234"/>
      <c r="B1244" s="20"/>
      <c r="C1244" s="17"/>
      <c r="D1244" s="29"/>
      <c r="E1244" s="23"/>
      <c r="F1244" s="249"/>
      <c r="H1244" s="66"/>
      <c r="I1244" s="101"/>
      <c r="J1244" s="106"/>
    </row>
    <row r="1245" spans="1:11" s="74" customFormat="1" ht="38.25" x14ac:dyDescent="0.2">
      <c r="A1245" s="234"/>
      <c r="B1245" s="20" t="s">
        <v>483</v>
      </c>
      <c r="C1245" s="17"/>
      <c r="D1245" s="29"/>
      <c r="E1245" s="23"/>
      <c r="F1245" s="249"/>
      <c r="G1245" s="74">
        <f>12+12.64+4.6+5.7+1.7+2.45+1.63+12.7+12.26+4.8+7.6</f>
        <v>78.080000000000013</v>
      </c>
      <c r="H1245" s="66"/>
      <c r="I1245" s="101"/>
      <c r="J1245" s="106"/>
    </row>
    <row r="1246" spans="1:11" s="74" customFormat="1" x14ac:dyDescent="0.2">
      <c r="A1246" s="234"/>
      <c r="B1246" s="20"/>
      <c r="C1246" s="17"/>
      <c r="D1246" s="29"/>
      <c r="E1246" s="23"/>
      <c r="F1246" s="249"/>
      <c r="G1246" s="74">
        <f>78.08/0.9355</f>
        <v>83.463388562266161</v>
      </c>
      <c r="H1246" s="66"/>
      <c r="I1246" s="101"/>
      <c r="J1246" s="106"/>
    </row>
    <row r="1247" spans="1:11" s="74" customFormat="1" ht="38.25" x14ac:dyDescent="0.2">
      <c r="A1247" s="234"/>
      <c r="B1247" s="159" t="s">
        <v>886</v>
      </c>
      <c r="C1247" s="17" t="s">
        <v>39</v>
      </c>
      <c r="D1247" s="52">
        <f>44.85+37.78+29.32+38.9+23.28+5.39+4.95+23.96+4.44+5.46+0.76+20.01+4.31+4.09+8.5</f>
        <v>255.99999999999997</v>
      </c>
      <c r="E1247" s="12"/>
      <c r="F1247" s="249">
        <f>D1247*E1247</f>
        <v>0</v>
      </c>
      <c r="G1247" s="130"/>
      <c r="H1247" s="66"/>
      <c r="I1247" s="101"/>
      <c r="J1247" s="106"/>
    </row>
    <row r="1248" spans="1:11" x14ac:dyDescent="0.2">
      <c r="A1248" s="234"/>
      <c r="B1248" s="25"/>
      <c r="C1248" s="17"/>
      <c r="D1248" s="29"/>
      <c r="E1248" s="12"/>
      <c r="F1248" s="269"/>
      <c r="G1248" s="11"/>
      <c r="H1248" s="74"/>
      <c r="I1248" s="74"/>
      <c r="J1248" s="74"/>
      <c r="K1248" s="74"/>
    </row>
    <row r="1249" spans="1:11" ht="38.25" x14ac:dyDescent="0.2">
      <c r="A1249" s="234" t="s">
        <v>240</v>
      </c>
      <c r="B1249" s="20" t="s">
        <v>883</v>
      </c>
      <c r="C1249" s="17"/>
      <c r="D1249" s="29"/>
      <c r="E1249" s="23"/>
      <c r="F1249" s="249"/>
      <c r="H1249" s="74"/>
      <c r="I1249" s="74"/>
      <c r="J1249" s="74"/>
      <c r="K1249" s="74"/>
    </row>
    <row r="1250" spans="1:11" ht="102" x14ac:dyDescent="0.2">
      <c r="A1250" s="339"/>
      <c r="B1250" s="352" t="s">
        <v>484</v>
      </c>
      <c r="C1250" s="363"/>
      <c r="D1250" s="342"/>
      <c r="E1250" s="366"/>
      <c r="F1250" s="344"/>
      <c r="H1250" s="74"/>
      <c r="I1250" s="74"/>
      <c r="J1250" s="74"/>
      <c r="K1250" s="74"/>
    </row>
    <row r="1251" spans="1:11" x14ac:dyDescent="0.2">
      <c r="A1251" s="234"/>
      <c r="B1251" s="20"/>
      <c r="C1251" s="17"/>
      <c r="D1251" s="29"/>
      <c r="E1251" s="23"/>
      <c r="F1251" s="249"/>
      <c r="H1251" s="74"/>
      <c r="I1251" s="74"/>
      <c r="J1251" s="74"/>
      <c r="K1251" s="74"/>
    </row>
    <row r="1252" spans="1:11" ht="76.5" x14ac:dyDescent="0.2">
      <c r="A1252" s="234"/>
      <c r="B1252" s="33" t="s">
        <v>464</v>
      </c>
      <c r="C1252" s="17"/>
      <c r="D1252" s="29"/>
      <c r="E1252" s="23"/>
      <c r="F1252" s="249"/>
      <c r="H1252" s="74"/>
      <c r="I1252" s="74"/>
      <c r="J1252" s="74"/>
      <c r="K1252" s="74"/>
    </row>
    <row r="1253" spans="1:11" ht="51" x14ac:dyDescent="0.2">
      <c r="A1253" s="234"/>
      <c r="B1253" s="33" t="s">
        <v>465</v>
      </c>
      <c r="C1253" s="17"/>
      <c r="D1253" s="29"/>
      <c r="E1253" s="23"/>
      <c r="F1253" s="249"/>
      <c r="H1253" s="74"/>
      <c r="I1253" s="74"/>
      <c r="J1253" s="74"/>
      <c r="K1253" s="74"/>
    </row>
    <row r="1254" spans="1:11" ht="14.25" customHeight="1" x14ac:dyDescent="0.2">
      <c r="A1254" s="234"/>
      <c r="B1254" s="33" t="s">
        <v>466</v>
      </c>
      <c r="C1254" s="17"/>
      <c r="D1254" s="29"/>
      <c r="E1254" s="23"/>
      <c r="F1254" s="249"/>
      <c r="H1254" s="74"/>
      <c r="I1254" s="74"/>
      <c r="J1254" s="74"/>
      <c r="K1254" s="74"/>
    </row>
    <row r="1255" spans="1:11" x14ac:dyDescent="0.2">
      <c r="A1255" s="234"/>
      <c r="B1255" s="20"/>
      <c r="C1255" s="17"/>
      <c r="D1255" s="29"/>
      <c r="E1255" s="23"/>
      <c r="F1255" s="249"/>
      <c r="H1255" s="74"/>
      <c r="I1255" s="74"/>
      <c r="J1255" s="74"/>
      <c r="K1255" s="74"/>
    </row>
    <row r="1256" spans="1:11" ht="38.25" x14ac:dyDescent="0.2">
      <c r="A1256" s="234"/>
      <c r="B1256" s="20" t="s">
        <v>485</v>
      </c>
      <c r="C1256" s="17"/>
      <c r="D1256" s="29"/>
      <c r="E1256" s="23"/>
      <c r="F1256" s="249"/>
    </row>
    <row r="1257" spans="1:11" ht="25.5" x14ac:dyDescent="0.2">
      <c r="A1257" s="234"/>
      <c r="B1257" s="159" t="s">
        <v>888</v>
      </c>
      <c r="C1257" s="17" t="s">
        <v>39</v>
      </c>
      <c r="D1257" s="52">
        <f>3.15+20.27+3.92+4.37+12.56+1.74-3.45*(3.05+4.52)</f>
        <v>19.8935</v>
      </c>
      <c r="E1257" s="12"/>
      <c r="F1257" s="249">
        <f>D1257*E1257</f>
        <v>0</v>
      </c>
    </row>
    <row r="1258" spans="1:11" x14ac:dyDescent="0.2">
      <c r="A1258" s="234"/>
      <c r="B1258" s="159"/>
      <c r="C1258" s="17"/>
      <c r="D1258" s="29"/>
      <c r="E1258" s="12"/>
      <c r="F1258" s="249"/>
    </row>
    <row r="1259" spans="1:11" ht="38.25" x14ac:dyDescent="0.2">
      <c r="A1259" s="234" t="s">
        <v>668</v>
      </c>
      <c r="B1259" s="20" t="s">
        <v>883</v>
      </c>
      <c r="C1259" s="17"/>
      <c r="D1259" s="29"/>
      <c r="E1259" s="23"/>
      <c r="F1259" s="249"/>
    </row>
    <row r="1260" spans="1:11" ht="51" x14ac:dyDescent="0.2">
      <c r="A1260" s="234"/>
      <c r="B1260" s="20" t="s">
        <v>650</v>
      </c>
      <c r="C1260" s="17"/>
      <c r="D1260" s="29"/>
      <c r="E1260" s="23"/>
      <c r="F1260" s="249"/>
    </row>
    <row r="1261" spans="1:11" ht="51" x14ac:dyDescent="0.2">
      <c r="A1261" s="234"/>
      <c r="B1261" s="109" t="s">
        <v>482</v>
      </c>
      <c r="C1261" s="17"/>
      <c r="D1261" s="29"/>
      <c r="E1261" s="23"/>
      <c r="F1261" s="249"/>
    </row>
    <row r="1262" spans="1:11" ht="51" x14ac:dyDescent="0.2">
      <c r="A1262" s="234"/>
      <c r="B1262" s="33" t="s">
        <v>465</v>
      </c>
      <c r="C1262" s="17"/>
      <c r="D1262" s="29"/>
      <c r="E1262" s="23"/>
      <c r="F1262" s="249"/>
    </row>
    <row r="1263" spans="1:11" x14ac:dyDescent="0.2">
      <c r="A1263" s="234"/>
      <c r="B1263" s="33" t="s">
        <v>466</v>
      </c>
      <c r="C1263" s="17"/>
      <c r="D1263" s="29"/>
      <c r="E1263" s="23"/>
      <c r="F1263" s="249"/>
    </row>
    <row r="1264" spans="1:11" x14ac:dyDescent="0.2">
      <c r="A1264" s="234"/>
      <c r="B1264" s="20"/>
      <c r="C1264" s="17"/>
      <c r="D1264" s="29"/>
      <c r="E1264" s="23"/>
      <c r="F1264" s="249"/>
    </row>
    <row r="1265" spans="1:7" ht="38.25" x14ac:dyDescent="0.2">
      <c r="A1265" s="234"/>
      <c r="B1265" s="20" t="s">
        <v>885</v>
      </c>
      <c r="C1265" s="17"/>
      <c r="D1265" s="29"/>
      <c r="E1265" s="23"/>
      <c r="F1265" s="249"/>
    </row>
    <row r="1266" spans="1:7" x14ac:dyDescent="0.2">
      <c r="A1266" s="234"/>
      <c r="B1266" s="20"/>
      <c r="C1266" s="17"/>
      <c r="D1266" s="29"/>
      <c r="E1266" s="23"/>
      <c r="F1266" s="249"/>
    </row>
    <row r="1267" spans="1:7" ht="38.25" x14ac:dyDescent="0.2">
      <c r="A1267" s="234"/>
      <c r="B1267" s="159" t="s">
        <v>882</v>
      </c>
      <c r="C1267" s="17" t="s">
        <v>39</v>
      </c>
      <c r="D1267" s="52">
        <f>44.85+37.78+29.32+38.9+23.28+5.39+4.95+23.96+4.44+5.46+0.76+20.01+4.31+4.09+8.5+59.42+20.08</f>
        <v>335.49999999999994</v>
      </c>
      <c r="E1267" s="12"/>
      <c r="F1267" s="249">
        <f>D1267*E1267</f>
        <v>0</v>
      </c>
    </row>
    <row r="1268" spans="1:7" x14ac:dyDescent="0.2">
      <c r="A1268" s="234"/>
      <c r="B1268" s="20"/>
      <c r="C1268" s="17"/>
      <c r="D1268" s="29"/>
      <c r="E1268" s="23"/>
      <c r="F1268" s="249"/>
    </row>
    <row r="1269" spans="1:7" ht="38.25" x14ac:dyDescent="0.2">
      <c r="A1269" s="234" t="s">
        <v>930</v>
      </c>
      <c r="B1269" s="20" t="s">
        <v>889</v>
      </c>
      <c r="C1269" s="17"/>
      <c r="D1269" s="29"/>
      <c r="E1269" s="23"/>
      <c r="F1269" s="249"/>
    </row>
    <row r="1270" spans="1:7" ht="38.25" x14ac:dyDescent="0.2">
      <c r="A1270" s="339"/>
      <c r="B1270" s="352" t="s">
        <v>487</v>
      </c>
      <c r="C1270" s="363"/>
      <c r="D1270" s="342"/>
      <c r="E1270" s="366"/>
      <c r="F1270" s="344"/>
    </row>
    <row r="1271" spans="1:7" x14ac:dyDescent="0.2">
      <c r="A1271" s="234"/>
      <c r="B1271" s="20"/>
      <c r="C1271" s="17"/>
      <c r="D1271" s="29"/>
      <c r="E1271" s="23"/>
      <c r="F1271" s="249"/>
    </row>
    <row r="1272" spans="1:7" ht="51" x14ac:dyDescent="0.2">
      <c r="A1272" s="234"/>
      <c r="B1272" s="33" t="s">
        <v>667</v>
      </c>
      <c r="C1272" s="17"/>
      <c r="D1272" s="29"/>
      <c r="E1272" s="23"/>
      <c r="F1272" s="249"/>
    </row>
    <row r="1273" spans="1:7" x14ac:dyDescent="0.2">
      <c r="A1273" s="234"/>
      <c r="B1273" s="33" t="s">
        <v>466</v>
      </c>
      <c r="C1273" s="17"/>
      <c r="D1273" s="29"/>
      <c r="E1273" s="23"/>
      <c r="F1273" s="249"/>
    </row>
    <row r="1274" spans="1:7" s="74" customFormat="1" x14ac:dyDescent="0.2">
      <c r="A1274" s="234"/>
      <c r="B1274" s="20"/>
      <c r="C1274" s="17"/>
      <c r="D1274" s="29"/>
      <c r="E1274" s="23"/>
      <c r="F1274" s="249"/>
      <c r="G1274" s="11"/>
    </row>
    <row r="1275" spans="1:7" s="74" customFormat="1" x14ac:dyDescent="0.2">
      <c r="A1275" s="234"/>
      <c r="B1275" s="139" t="s">
        <v>488</v>
      </c>
      <c r="C1275" s="17" t="s">
        <v>39</v>
      </c>
      <c r="D1275" s="29">
        <f>3.5*4.55</f>
        <v>15.924999999999999</v>
      </c>
      <c r="E1275" s="38"/>
      <c r="F1275" s="249">
        <f>D1275*E1275</f>
        <v>0</v>
      </c>
    </row>
    <row r="1276" spans="1:7" s="74" customFormat="1" x14ac:dyDescent="0.2">
      <c r="A1276" s="234"/>
      <c r="B1276" s="20"/>
      <c r="C1276" s="17"/>
      <c r="D1276" s="29"/>
      <c r="E1276" s="23"/>
      <c r="F1276" s="249"/>
    </row>
    <row r="1277" spans="1:7" s="74" customFormat="1" ht="38.25" x14ac:dyDescent="0.2">
      <c r="A1277" s="234" t="s">
        <v>931</v>
      </c>
      <c r="B1277" s="61" t="s">
        <v>486</v>
      </c>
      <c r="C1277" s="25"/>
      <c r="D1277" s="65"/>
      <c r="E1277" s="23"/>
      <c r="F1277" s="249"/>
    </row>
    <row r="1278" spans="1:7" s="74" customFormat="1" ht="51" x14ac:dyDescent="0.2">
      <c r="A1278" s="234"/>
      <c r="B1278" s="61" t="s">
        <v>1291</v>
      </c>
      <c r="C1278" s="25"/>
      <c r="D1278" s="65"/>
      <c r="E1278" s="23"/>
      <c r="F1278" s="249"/>
    </row>
    <row r="1279" spans="1:7" x14ac:dyDescent="0.2">
      <c r="A1279" s="234"/>
      <c r="B1279" s="34" t="s">
        <v>466</v>
      </c>
      <c r="C1279" s="25"/>
      <c r="D1279" s="65"/>
      <c r="E1279" s="23"/>
      <c r="F1279" s="249"/>
    </row>
    <row r="1280" spans="1:7" x14ac:dyDescent="0.2">
      <c r="A1280" s="234"/>
      <c r="B1280" s="34"/>
      <c r="C1280" s="25"/>
      <c r="D1280" s="65"/>
      <c r="E1280" s="23"/>
      <c r="F1280" s="249"/>
    </row>
    <row r="1281" spans="1:6" x14ac:dyDescent="0.2">
      <c r="A1281" s="234"/>
      <c r="B1281" s="25" t="s">
        <v>28</v>
      </c>
      <c r="C1281" s="25"/>
      <c r="D1281" s="65"/>
      <c r="E1281" s="23"/>
      <c r="F1281" s="249"/>
    </row>
    <row r="1282" spans="1:6" ht="25.5" x14ac:dyDescent="0.2">
      <c r="A1282" s="234"/>
      <c r="B1282" s="26" t="s">
        <v>890</v>
      </c>
      <c r="C1282" s="25"/>
      <c r="D1282" s="29">
        <f>3.78*2+4+2.09+4.72+4+2.28+2.36+4.98+3.78</f>
        <v>35.769999999999996</v>
      </c>
      <c r="E1282" s="23"/>
      <c r="F1282" s="249"/>
    </row>
    <row r="1283" spans="1:6" x14ac:dyDescent="0.2">
      <c r="A1283" s="234"/>
      <c r="B1283" s="25"/>
      <c r="C1283" s="25"/>
      <c r="D1283" s="65"/>
      <c r="E1283" s="23"/>
      <c r="F1283" s="249"/>
    </row>
    <row r="1284" spans="1:6" x14ac:dyDescent="0.2">
      <c r="A1284" s="234"/>
      <c r="B1284" s="25" t="s">
        <v>746</v>
      </c>
      <c r="C1284" s="25"/>
      <c r="D1284" s="65"/>
      <c r="E1284" s="23"/>
      <c r="F1284" s="249"/>
    </row>
    <row r="1285" spans="1:6" ht="25.5" x14ac:dyDescent="0.2">
      <c r="A1285" s="234"/>
      <c r="B1285" s="26" t="s">
        <v>785</v>
      </c>
      <c r="C1285" s="25"/>
      <c r="D1285" s="29">
        <f>2.36+4.98+3.78+3.78+3.78+3.79+4+4+4.72+4+2.28</f>
        <v>41.47</v>
      </c>
      <c r="E1285" s="23"/>
      <c r="F1285" s="249"/>
    </row>
    <row r="1286" spans="1:6" x14ac:dyDescent="0.2">
      <c r="A1286" s="234"/>
      <c r="B1286" s="26"/>
      <c r="C1286" s="25"/>
      <c r="D1286" s="65"/>
      <c r="E1286" s="23"/>
      <c r="F1286" s="249"/>
    </row>
    <row r="1287" spans="1:6" x14ac:dyDescent="0.2">
      <c r="A1287" s="234"/>
      <c r="B1287" s="25" t="s">
        <v>750</v>
      </c>
      <c r="C1287" s="25"/>
      <c r="D1287" s="65"/>
      <c r="E1287" s="23"/>
      <c r="F1287" s="249"/>
    </row>
    <row r="1288" spans="1:6" ht="25.5" x14ac:dyDescent="0.2">
      <c r="A1288" s="234"/>
      <c r="B1288" s="26" t="s">
        <v>891</v>
      </c>
      <c r="C1288" s="25"/>
      <c r="D1288" s="29">
        <f>2*(2.36+4.98+3.78+3.78+3.78+3.79+4+4+4.72+4+2.28)</f>
        <v>82.94</v>
      </c>
      <c r="E1288" s="23"/>
      <c r="F1288" s="249"/>
    </row>
    <row r="1289" spans="1:6" x14ac:dyDescent="0.2">
      <c r="A1289" s="234"/>
      <c r="B1289" s="66"/>
      <c r="C1289" s="25"/>
      <c r="D1289" s="29"/>
      <c r="E1289" s="23"/>
      <c r="F1289" s="249"/>
    </row>
    <row r="1290" spans="1:6" x14ac:dyDescent="0.2">
      <c r="A1290" s="234"/>
      <c r="B1290" s="66" t="s">
        <v>776</v>
      </c>
      <c r="C1290" s="25"/>
      <c r="D1290" s="29"/>
      <c r="E1290" s="23"/>
      <c r="F1290" s="249"/>
    </row>
    <row r="1291" spans="1:6" ht="25.5" x14ac:dyDescent="0.2">
      <c r="A1291" s="234"/>
      <c r="B1291" s="66" t="s">
        <v>892</v>
      </c>
      <c r="C1291" s="25"/>
      <c r="D1291" s="92">
        <f>2.25+4.45+3.78*4+4*2+4.57+1.8+2.06</f>
        <v>38.25</v>
      </c>
      <c r="E1291" s="23"/>
      <c r="F1291" s="249"/>
    </row>
    <row r="1292" spans="1:6" x14ac:dyDescent="0.2">
      <c r="A1292" s="234"/>
      <c r="B1292" s="24"/>
      <c r="C1292" s="25"/>
      <c r="D1292" s="65"/>
      <c r="E1292" s="23"/>
      <c r="F1292" s="249"/>
    </row>
    <row r="1293" spans="1:6" x14ac:dyDescent="0.2">
      <c r="A1293" s="234"/>
      <c r="B1293" s="25" t="s">
        <v>1653</v>
      </c>
      <c r="C1293" s="17" t="s">
        <v>39</v>
      </c>
      <c r="D1293" s="29">
        <f>SUM(D1282:D1292)</f>
        <v>198.43</v>
      </c>
      <c r="E1293" s="12"/>
      <c r="F1293" s="249">
        <f>D1293*E1293</f>
        <v>0</v>
      </c>
    </row>
    <row r="1294" spans="1:6" x14ac:dyDescent="0.2">
      <c r="A1294" s="247"/>
      <c r="B1294" s="24"/>
      <c r="C1294" s="17"/>
      <c r="D1294" s="29"/>
      <c r="E1294" s="23"/>
      <c r="F1294" s="249"/>
    </row>
    <row r="1295" spans="1:6" ht="63.75" x14ac:dyDescent="0.2">
      <c r="A1295" s="234" t="s">
        <v>1029</v>
      </c>
      <c r="B1295" s="24" t="s">
        <v>1055</v>
      </c>
      <c r="C1295" s="17"/>
      <c r="D1295" s="29"/>
      <c r="E1295" s="23"/>
      <c r="F1295" s="249"/>
    </row>
    <row r="1296" spans="1:6" ht="25.5" x14ac:dyDescent="0.2">
      <c r="A1296" s="247"/>
      <c r="B1296" s="24" t="s">
        <v>1056</v>
      </c>
      <c r="C1296" s="17"/>
      <c r="D1296" s="29"/>
      <c r="E1296" s="23"/>
      <c r="F1296" s="249"/>
    </row>
    <row r="1297" spans="1:12" ht="25.5" x14ac:dyDescent="0.2">
      <c r="A1297" s="247"/>
      <c r="B1297" s="24" t="s">
        <v>1057</v>
      </c>
      <c r="C1297" s="17"/>
      <c r="D1297" s="29"/>
      <c r="E1297" s="23"/>
      <c r="F1297" s="249"/>
    </row>
    <row r="1298" spans="1:12" x14ac:dyDescent="0.2">
      <c r="A1298" s="247"/>
      <c r="B1298" s="34" t="s">
        <v>466</v>
      </c>
      <c r="C1298" s="17"/>
      <c r="D1298" s="29"/>
      <c r="E1298" s="23"/>
      <c r="F1298" s="249"/>
    </row>
    <row r="1299" spans="1:12" x14ac:dyDescent="0.2">
      <c r="A1299" s="247"/>
      <c r="B1299" s="24"/>
      <c r="C1299" s="17"/>
      <c r="D1299" s="29"/>
      <c r="E1299" s="23"/>
      <c r="F1299" s="249"/>
    </row>
    <row r="1300" spans="1:12" x14ac:dyDescent="0.2">
      <c r="A1300" s="247"/>
      <c r="B1300" s="25" t="s">
        <v>560</v>
      </c>
      <c r="C1300" s="17"/>
      <c r="D1300" s="18"/>
      <c r="E1300" s="23"/>
      <c r="F1300" s="249"/>
    </row>
    <row r="1301" spans="1:12" x14ac:dyDescent="0.2">
      <c r="A1301" s="247"/>
      <c r="B1301" s="26" t="s">
        <v>1019</v>
      </c>
      <c r="C1301" s="17" t="s">
        <v>39</v>
      </c>
      <c r="D1301" s="52">
        <f>578.97+139.48</f>
        <v>718.45</v>
      </c>
      <c r="E1301" s="23"/>
      <c r="F1301" s="249">
        <f>D1301*E1301</f>
        <v>0</v>
      </c>
    </row>
    <row r="1302" spans="1:12" ht="13.5" thickBot="1" x14ac:dyDescent="0.25">
      <c r="A1302" s="234"/>
      <c r="B1302" s="96"/>
      <c r="C1302" s="39"/>
      <c r="D1302" s="217"/>
      <c r="E1302" s="25"/>
      <c r="F1302" s="249"/>
    </row>
    <row r="1303" spans="1:12" s="2" customFormat="1" ht="15.95" customHeight="1" thickBot="1" x14ac:dyDescent="0.25">
      <c r="A1303" s="271" t="str">
        <f>A923</f>
        <v>6.</v>
      </c>
      <c r="B1303" s="131" t="s">
        <v>59</v>
      </c>
      <c r="C1303" s="132"/>
      <c r="D1303" s="326"/>
      <c r="E1303" s="51"/>
      <c r="F1303" s="272">
        <f>SUM(F930:F1302)</f>
        <v>0</v>
      </c>
      <c r="G1303" s="198"/>
      <c r="H1303" s="4"/>
      <c r="I1303" s="3"/>
      <c r="J1303" s="3"/>
      <c r="K1303" s="3"/>
      <c r="L1303" s="3"/>
    </row>
    <row r="1304" spans="1:12" s="2" customFormat="1" ht="15.95" customHeight="1" thickBot="1" x14ac:dyDescent="0.25">
      <c r="A1304" s="262" t="s">
        <v>9</v>
      </c>
      <c r="B1304" s="49" t="s">
        <v>106</v>
      </c>
      <c r="C1304" s="50"/>
      <c r="D1304" s="324"/>
      <c r="E1304" s="140"/>
      <c r="F1304" s="273"/>
      <c r="G1304" s="478"/>
      <c r="H1304" s="478"/>
      <c r="I1304" s="478"/>
      <c r="J1304" s="478"/>
      <c r="K1304" s="3"/>
      <c r="L1304" s="3"/>
    </row>
    <row r="1305" spans="1:12" x14ac:dyDescent="0.2">
      <c r="A1305" s="234"/>
      <c r="B1305" s="25"/>
      <c r="C1305" s="25"/>
      <c r="D1305" s="65"/>
      <c r="E1305" s="23"/>
      <c r="F1305" s="235"/>
      <c r="G1305" s="204"/>
    </row>
    <row r="1306" spans="1:12" ht="51" x14ac:dyDescent="0.2">
      <c r="A1306" s="234" t="s">
        <v>12</v>
      </c>
      <c r="B1306" s="25" t="s">
        <v>489</v>
      </c>
      <c r="C1306" s="25"/>
      <c r="D1306" s="65"/>
      <c r="E1306" s="23"/>
      <c r="F1306" s="235"/>
      <c r="G1306" s="194"/>
    </row>
    <row r="1307" spans="1:12" ht="38.25" x14ac:dyDescent="0.2">
      <c r="A1307" s="234"/>
      <c r="B1307" s="25" t="s">
        <v>490</v>
      </c>
      <c r="C1307" s="25"/>
      <c r="D1307" s="65"/>
      <c r="E1307" s="23"/>
      <c r="F1307" s="235"/>
      <c r="G1307" s="194"/>
    </row>
    <row r="1308" spans="1:12" ht="25.5" x14ac:dyDescent="0.2">
      <c r="A1308" s="234"/>
      <c r="B1308" s="25" t="s">
        <v>491</v>
      </c>
      <c r="C1308" s="25"/>
      <c r="D1308" s="65"/>
      <c r="E1308" s="23"/>
      <c r="F1308" s="235"/>
      <c r="G1308" s="194"/>
    </row>
    <row r="1309" spans="1:12" ht="25.5" x14ac:dyDescent="0.2">
      <c r="A1309" s="234"/>
      <c r="B1309" s="25" t="s">
        <v>492</v>
      </c>
      <c r="C1309" s="25"/>
      <c r="D1309" s="65"/>
      <c r="E1309" s="23"/>
      <c r="F1309" s="235"/>
      <c r="G1309" s="194"/>
    </row>
    <row r="1310" spans="1:12" ht="38.25" x14ac:dyDescent="0.2">
      <c r="A1310" s="234"/>
      <c r="B1310" s="25" t="s">
        <v>493</v>
      </c>
      <c r="C1310" s="25"/>
      <c r="D1310" s="65"/>
      <c r="E1310" s="23"/>
      <c r="F1310" s="235"/>
      <c r="G1310" s="194"/>
    </row>
    <row r="1311" spans="1:12" ht="25.5" x14ac:dyDescent="0.2">
      <c r="A1311" s="234"/>
      <c r="B1311" s="25" t="s">
        <v>494</v>
      </c>
      <c r="C1311" s="25"/>
      <c r="D1311" s="65"/>
      <c r="E1311" s="23"/>
      <c r="F1311" s="235"/>
      <c r="G1311" s="194"/>
    </row>
    <row r="1312" spans="1:12" ht="76.5" x14ac:dyDescent="0.2">
      <c r="A1312" s="234"/>
      <c r="B1312" s="33" t="s">
        <v>495</v>
      </c>
      <c r="C1312" s="25"/>
      <c r="D1312" s="65"/>
      <c r="E1312" s="23"/>
      <c r="F1312" s="235"/>
      <c r="G1312" s="194"/>
    </row>
    <row r="1313" spans="1:7" x14ac:dyDescent="0.2">
      <c r="A1313" s="234"/>
      <c r="B1313" s="79"/>
      <c r="C1313" s="25"/>
      <c r="D1313" s="65"/>
      <c r="E1313" s="23"/>
      <c r="F1313" s="235"/>
      <c r="G1313" s="194"/>
    </row>
    <row r="1314" spans="1:7" ht="38.25" x14ac:dyDescent="0.2">
      <c r="A1314" s="247" t="s">
        <v>496</v>
      </c>
      <c r="B1314" s="25" t="s">
        <v>894</v>
      </c>
      <c r="C1314" s="25"/>
      <c r="D1314" s="65"/>
      <c r="E1314" s="23"/>
      <c r="F1314" s="235"/>
      <c r="G1314" s="194"/>
    </row>
    <row r="1315" spans="1:7" x14ac:dyDescent="0.2">
      <c r="A1315" s="247"/>
      <c r="B1315" s="25"/>
      <c r="C1315" s="25"/>
      <c r="D1315" s="65"/>
      <c r="E1315" s="23"/>
      <c r="F1315" s="235"/>
      <c r="G1315" s="194"/>
    </row>
    <row r="1316" spans="1:7" x14ac:dyDescent="0.2">
      <c r="A1316" s="247"/>
      <c r="B1316" s="25" t="s">
        <v>28</v>
      </c>
      <c r="C1316" s="25"/>
      <c r="D1316" s="65"/>
      <c r="E1316" s="23"/>
      <c r="F1316" s="235"/>
      <c r="G1316" s="194"/>
    </row>
    <row r="1317" spans="1:7" x14ac:dyDescent="0.2">
      <c r="A1317" s="247"/>
      <c r="B1317" s="26" t="s">
        <v>895</v>
      </c>
      <c r="C1317" s="25"/>
      <c r="D1317" s="29">
        <f>2.77*(2.33+1.85+2.59)</f>
        <v>18.7529</v>
      </c>
      <c r="E1317" s="23"/>
      <c r="F1317" s="235"/>
      <c r="G1317" s="194"/>
    </row>
    <row r="1318" spans="1:7" x14ac:dyDescent="0.2">
      <c r="A1318" s="247"/>
      <c r="B1318" s="25"/>
      <c r="C1318" s="25"/>
      <c r="D1318" s="65"/>
      <c r="E1318" s="23"/>
      <c r="F1318" s="235"/>
      <c r="G1318" s="194"/>
    </row>
    <row r="1319" spans="1:7" x14ac:dyDescent="0.2">
      <c r="A1319" s="247"/>
      <c r="B1319" s="25" t="s">
        <v>746</v>
      </c>
      <c r="C1319" s="25"/>
      <c r="D1319" s="65"/>
      <c r="E1319" s="23"/>
      <c r="F1319" s="235"/>
      <c r="G1319" s="194"/>
    </row>
    <row r="1320" spans="1:7" x14ac:dyDescent="0.2">
      <c r="A1320" s="247"/>
      <c r="B1320" s="26" t="s">
        <v>895</v>
      </c>
      <c r="C1320" s="25"/>
      <c r="D1320" s="29">
        <f>2.77*(2.33+1.85+2.59)</f>
        <v>18.7529</v>
      </c>
      <c r="E1320" s="23"/>
      <c r="F1320" s="235"/>
      <c r="G1320" s="194"/>
    </row>
    <row r="1321" spans="1:7" x14ac:dyDescent="0.2">
      <c r="A1321" s="247"/>
      <c r="B1321" s="25"/>
      <c r="C1321" s="25"/>
      <c r="D1321" s="65"/>
      <c r="E1321" s="23"/>
      <c r="F1321" s="235"/>
      <c r="G1321" s="194"/>
    </row>
    <row r="1322" spans="1:7" x14ac:dyDescent="0.2">
      <c r="A1322" s="234"/>
      <c r="B1322" s="25" t="s">
        <v>750</v>
      </c>
      <c r="C1322" s="25"/>
      <c r="D1322" s="65"/>
      <c r="E1322" s="23"/>
      <c r="F1322" s="235"/>
      <c r="G1322" s="194"/>
    </row>
    <row r="1323" spans="1:7" x14ac:dyDescent="0.2">
      <c r="A1323" s="234"/>
      <c r="B1323" s="26" t="s">
        <v>896</v>
      </c>
      <c r="C1323" s="25"/>
      <c r="D1323" s="29">
        <f>2*2.77*(2.33+1.85+2.59)</f>
        <v>37.505800000000001</v>
      </c>
      <c r="E1323" s="23"/>
      <c r="F1323" s="235"/>
      <c r="G1323" s="194"/>
    </row>
    <row r="1324" spans="1:7" x14ac:dyDescent="0.2">
      <c r="A1324" s="234"/>
      <c r="B1324" s="26"/>
      <c r="C1324" s="25"/>
      <c r="D1324" s="29"/>
      <c r="E1324" s="23"/>
      <c r="F1324" s="235"/>
      <c r="G1324" s="194"/>
    </row>
    <row r="1325" spans="1:7" x14ac:dyDescent="0.2">
      <c r="A1325" s="234"/>
      <c r="B1325" s="26" t="s">
        <v>776</v>
      </c>
      <c r="C1325" s="25"/>
      <c r="D1325" s="65"/>
      <c r="E1325" s="23"/>
      <c r="F1325" s="235"/>
      <c r="G1325" s="194"/>
    </row>
    <row r="1326" spans="1:7" x14ac:dyDescent="0.2">
      <c r="A1326" s="234"/>
      <c r="B1326" s="26" t="s">
        <v>895</v>
      </c>
      <c r="C1326" s="25"/>
      <c r="D1326" s="29">
        <f>2.77*(2.33+1.85+2.59)</f>
        <v>18.7529</v>
      </c>
      <c r="E1326" s="23"/>
      <c r="F1326" s="235"/>
      <c r="G1326" s="194"/>
    </row>
    <row r="1327" spans="1:7" x14ac:dyDescent="0.2">
      <c r="A1327" s="234"/>
      <c r="B1327" s="26"/>
      <c r="C1327" s="25"/>
      <c r="D1327" s="65"/>
      <c r="E1327" s="23"/>
      <c r="F1327" s="235"/>
      <c r="G1327" s="194"/>
    </row>
    <row r="1328" spans="1:7" x14ac:dyDescent="0.2">
      <c r="A1328" s="234"/>
      <c r="B1328" s="25" t="s">
        <v>516</v>
      </c>
      <c r="C1328" s="17" t="s">
        <v>39</v>
      </c>
      <c r="D1328" s="29">
        <f>SUM(D1317:D1327)</f>
        <v>93.764499999999998</v>
      </c>
      <c r="E1328" s="12"/>
      <c r="F1328" s="249">
        <f>E1328*D1328</f>
        <v>0</v>
      </c>
      <c r="G1328" s="205"/>
    </row>
    <row r="1329" spans="1:10" x14ac:dyDescent="0.2">
      <c r="A1329" s="234"/>
      <c r="B1329" s="79"/>
      <c r="C1329" s="25"/>
      <c r="D1329" s="65"/>
      <c r="E1329" s="23"/>
      <c r="F1329" s="235"/>
      <c r="G1329" s="194"/>
    </row>
    <row r="1330" spans="1:10" ht="102" x14ac:dyDescent="0.2">
      <c r="A1330" s="339" t="s">
        <v>13</v>
      </c>
      <c r="B1330" s="372" t="s">
        <v>497</v>
      </c>
      <c r="C1330" s="347"/>
      <c r="D1330" s="348"/>
      <c r="E1330" s="366"/>
      <c r="F1330" s="349"/>
      <c r="G1330" s="194"/>
      <c r="I1330" s="77"/>
      <c r="J1330" s="77"/>
    </row>
    <row r="1331" spans="1:10" x14ac:dyDescent="0.2">
      <c r="A1331" s="234"/>
      <c r="B1331" s="33"/>
      <c r="C1331" s="25"/>
      <c r="D1331" s="65"/>
      <c r="E1331" s="23"/>
      <c r="F1331" s="235"/>
      <c r="G1331" s="194"/>
      <c r="I1331" s="77"/>
      <c r="J1331" s="77"/>
    </row>
    <row r="1332" spans="1:10" ht="38.25" x14ac:dyDescent="0.2">
      <c r="A1332" s="234"/>
      <c r="B1332" s="33" t="s">
        <v>498</v>
      </c>
      <c r="C1332" s="25"/>
      <c r="D1332" s="65"/>
      <c r="E1332" s="23"/>
      <c r="F1332" s="235"/>
      <c r="G1332" s="194"/>
      <c r="I1332" s="77"/>
      <c r="J1332" s="77"/>
    </row>
    <row r="1333" spans="1:10" ht="25.5" x14ac:dyDescent="0.2">
      <c r="A1333" s="234"/>
      <c r="B1333" s="33" t="s">
        <v>499</v>
      </c>
      <c r="C1333" s="25"/>
      <c r="D1333" s="65"/>
      <c r="E1333" s="23"/>
      <c r="F1333" s="235"/>
      <c r="G1333" s="194"/>
    </row>
    <row r="1334" spans="1:10" ht="63.75" x14ac:dyDescent="0.2">
      <c r="A1334" s="234"/>
      <c r="B1334" s="41" t="s">
        <v>150</v>
      </c>
      <c r="C1334" s="25"/>
      <c r="D1334" s="65"/>
      <c r="E1334" s="23"/>
      <c r="F1334" s="235"/>
      <c r="G1334" s="194"/>
      <c r="H1334" s="8">
        <f>18.7+20.4+20.75+10.91+16.35</f>
        <v>87.109999999999985</v>
      </c>
      <c r="I1334" s="8">
        <f>87.11/0.9348</f>
        <v>93.185708172871202</v>
      </c>
    </row>
    <row r="1335" spans="1:10" ht="89.25" x14ac:dyDescent="0.2">
      <c r="A1335" s="234"/>
      <c r="B1335" s="33" t="s">
        <v>500</v>
      </c>
      <c r="C1335" s="25"/>
      <c r="D1335" s="65"/>
      <c r="E1335" s="23"/>
      <c r="F1335" s="235"/>
      <c r="G1335" s="194"/>
      <c r="H1335" s="8">
        <f>15.63+5.2+9.3+13.92+14.83+5.14+3.11+14.3</f>
        <v>81.429999999999993</v>
      </c>
      <c r="I1335" s="8">
        <f>81.43/0.9348</f>
        <v>87.109542148053066</v>
      </c>
    </row>
    <row r="1336" spans="1:10" x14ac:dyDescent="0.2">
      <c r="A1336" s="234"/>
      <c r="B1336" s="33"/>
      <c r="C1336" s="25"/>
      <c r="D1336" s="65"/>
      <c r="E1336" s="23"/>
      <c r="F1336" s="235"/>
      <c r="G1336" s="194"/>
    </row>
    <row r="1337" spans="1:10" ht="25.5" x14ac:dyDescent="0.2">
      <c r="A1337" s="247" t="s">
        <v>501</v>
      </c>
      <c r="B1337" s="166" t="s">
        <v>502</v>
      </c>
      <c r="C1337" s="25"/>
      <c r="D1337" s="65"/>
      <c r="E1337" s="23"/>
      <c r="F1337" s="235"/>
      <c r="G1337" s="194"/>
    </row>
    <row r="1338" spans="1:10" x14ac:dyDescent="0.2">
      <c r="A1338" s="247"/>
      <c r="B1338" s="81" t="s">
        <v>1270</v>
      </c>
      <c r="C1338" s="25"/>
      <c r="D1338" s="65"/>
      <c r="E1338" s="23"/>
      <c r="F1338" s="235"/>
      <c r="G1338" s="194"/>
    </row>
    <row r="1339" spans="1:10" x14ac:dyDescent="0.2">
      <c r="A1339" s="247"/>
      <c r="B1339" s="81"/>
      <c r="C1339" s="25"/>
      <c r="D1339" s="65"/>
      <c r="E1339" s="23"/>
      <c r="F1339" s="235"/>
      <c r="G1339" s="194"/>
    </row>
    <row r="1340" spans="1:10" x14ac:dyDescent="0.2">
      <c r="A1340" s="247"/>
      <c r="B1340" s="25" t="s">
        <v>836</v>
      </c>
      <c r="C1340" s="25"/>
      <c r="D1340" s="65"/>
      <c r="E1340" s="23"/>
      <c r="F1340" s="235"/>
      <c r="G1340" s="194"/>
    </row>
    <row r="1341" spans="1:10" x14ac:dyDescent="0.2">
      <c r="A1341" s="234"/>
      <c r="B1341" s="26" t="s">
        <v>1271</v>
      </c>
      <c r="C1341" s="17" t="s">
        <v>39</v>
      </c>
      <c r="D1341" s="29">
        <f>59.42+59.65+59.75*2+59.71</f>
        <v>298.27999999999997</v>
      </c>
      <c r="E1341" s="12"/>
      <c r="F1341" s="249">
        <f>E1341*D1341</f>
        <v>0</v>
      </c>
      <c r="G1341" s="194"/>
    </row>
    <row r="1342" spans="1:10" x14ac:dyDescent="0.2">
      <c r="A1342" s="234"/>
      <c r="B1342" s="83"/>
      <c r="C1342" s="17"/>
      <c r="D1342" s="29"/>
      <c r="E1342" s="23"/>
      <c r="F1342" s="249"/>
      <c r="G1342" s="205"/>
    </row>
    <row r="1343" spans="1:10" ht="25.5" x14ac:dyDescent="0.2">
      <c r="A1343" s="247" t="s">
        <v>503</v>
      </c>
      <c r="B1343" s="166" t="s">
        <v>502</v>
      </c>
      <c r="C1343" s="25"/>
      <c r="D1343" s="65"/>
      <c r="E1343" s="23"/>
      <c r="F1343" s="235"/>
      <c r="G1343" s="194"/>
    </row>
    <row r="1344" spans="1:10" x14ac:dyDescent="0.2">
      <c r="A1344" s="247"/>
      <c r="B1344" s="81" t="s">
        <v>1289</v>
      </c>
      <c r="C1344" s="25"/>
      <c r="D1344" s="65"/>
      <c r="E1344" s="23"/>
      <c r="F1344" s="235"/>
      <c r="G1344" s="194"/>
    </row>
    <row r="1345" spans="1:7" x14ac:dyDescent="0.2">
      <c r="A1345" s="247"/>
      <c r="B1345" s="81"/>
      <c r="C1345" s="25"/>
      <c r="D1345" s="65"/>
      <c r="E1345" s="23"/>
      <c r="F1345" s="235"/>
      <c r="G1345" s="194"/>
    </row>
    <row r="1346" spans="1:7" x14ac:dyDescent="0.2">
      <c r="A1346" s="247"/>
      <c r="B1346" s="25" t="s">
        <v>746</v>
      </c>
      <c r="C1346" s="25"/>
      <c r="D1346" s="65"/>
      <c r="E1346" s="23"/>
      <c r="F1346" s="235"/>
      <c r="G1346" s="194"/>
    </row>
    <row r="1347" spans="1:7" x14ac:dyDescent="0.2">
      <c r="A1347" s="247"/>
      <c r="B1347" s="66" t="s">
        <v>924</v>
      </c>
      <c r="C1347" s="17" t="s">
        <v>39</v>
      </c>
      <c r="D1347" s="92">
        <f>3.15+4.37</f>
        <v>7.52</v>
      </c>
      <c r="E1347" s="12"/>
      <c r="F1347" s="249">
        <f>E1347*D1347</f>
        <v>0</v>
      </c>
      <c r="G1347" s="194"/>
    </row>
    <row r="1348" spans="1:7" x14ac:dyDescent="0.2">
      <c r="A1348" s="234"/>
      <c r="B1348" s="83" t="s">
        <v>774</v>
      </c>
      <c r="C1348" s="17"/>
      <c r="D1348" s="217"/>
      <c r="E1348" s="23"/>
      <c r="F1348" s="249"/>
      <c r="G1348" s="205"/>
    </row>
    <row r="1349" spans="1:7" ht="25.5" x14ac:dyDescent="0.2">
      <c r="A1349" s="247" t="s">
        <v>504</v>
      </c>
      <c r="B1349" s="166" t="s">
        <v>505</v>
      </c>
      <c r="C1349" s="25"/>
      <c r="D1349" s="65"/>
      <c r="E1349" s="23"/>
      <c r="F1349" s="235"/>
      <c r="G1349" s="194"/>
    </row>
    <row r="1350" spans="1:7" x14ac:dyDescent="0.2">
      <c r="A1350" s="247"/>
      <c r="B1350" s="81" t="s">
        <v>923</v>
      </c>
      <c r="C1350" s="25"/>
      <c r="D1350" s="65"/>
      <c r="E1350" s="23"/>
      <c r="F1350" s="235"/>
      <c r="G1350" s="194"/>
    </row>
    <row r="1351" spans="1:7" x14ac:dyDescent="0.2">
      <c r="A1351" s="247"/>
      <c r="B1351" s="81"/>
      <c r="C1351" s="25"/>
      <c r="D1351" s="65"/>
      <c r="E1351" s="23"/>
      <c r="F1351" s="235"/>
      <c r="G1351" s="194"/>
    </row>
    <row r="1352" spans="1:7" x14ac:dyDescent="0.2">
      <c r="A1352" s="247"/>
      <c r="B1352" s="25" t="s">
        <v>28</v>
      </c>
      <c r="C1352" s="25"/>
      <c r="D1352" s="65"/>
      <c r="E1352" s="23"/>
      <c r="F1352" s="235"/>
      <c r="G1352" s="194"/>
    </row>
    <row r="1353" spans="1:7" ht="25.5" x14ac:dyDescent="0.2">
      <c r="A1353" s="247"/>
      <c r="B1353" s="26" t="s">
        <v>897</v>
      </c>
      <c r="C1353" s="25"/>
      <c r="D1353" s="29">
        <f>4+4.31+4.02+4.34+4.33+4.36+4.67+4.37+4.44+4.31</f>
        <v>43.15</v>
      </c>
      <c r="E1353" s="23"/>
      <c r="F1353" s="235"/>
      <c r="G1353" s="194"/>
    </row>
    <row r="1354" spans="1:7" x14ac:dyDescent="0.2">
      <c r="A1354" s="247"/>
      <c r="B1354" s="25"/>
      <c r="C1354" s="25"/>
      <c r="D1354" s="65"/>
      <c r="E1354" s="23"/>
      <c r="F1354" s="235"/>
      <c r="G1354" s="194"/>
    </row>
    <row r="1355" spans="1:7" x14ac:dyDescent="0.2">
      <c r="A1355" s="247"/>
      <c r="B1355" s="25" t="s">
        <v>746</v>
      </c>
      <c r="C1355" s="25"/>
      <c r="D1355" s="65"/>
      <c r="E1355" s="23"/>
      <c r="F1355" s="235"/>
      <c r="G1355" s="194"/>
    </row>
    <row r="1356" spans="1:7" ht="25.5" x14ac:dyDescent="0.2">
      <c r="A1356" s="247"/>
      <c r="B1356" s="26" t="s">
        <v>898</v>
      </c>
      <c r="C1356" s="25"/>
      <c r="D1356" s="29">
        <f>4.37+4.44+4.31+1.57+3.92+4+4.31+4.02+4.38+4.33+1.59+4.34+4.28</f>
        <v>49.86</v>
      </c>
      <c r="E1356" s="23"/>
      <c r="F1356" s="235"/>
      <c r="G1356" s="194"/>
    </row>
    <row r="1357" spans="1:7" x14ac:dyDescent="0.2">
      <c r="A1357" s="234"/>
      <c r="B1357" s="25"/>
      <c r="C1357" s="25"/>
      <c r="D1357" s="65"/>
      <c r="E1357" s="23"/>
      <c r="F1357" s="235"/>
      <c r="G1357" s="194"/>
    </row>
    <row r="1358" spans="1:7" x14ac:dyDescent="0.2">
      <c r="A1358" s="234"/>
      <c r="B1358" s="25" t="s">
        <v>750</v>
      </c>
      <c r="C1358" s="25"/>
      <c r="D1358" s="65"/>
      <c r="E1358" s="23"/>
      <c r="F1358" s="249">
        <f>E1358*D1358</f>
        <v>0</v>
      </c>
      <c r="G1358" s="205"/>
    </row>
    <row r="1359" spans="1:7" ht="38.25" x14ac:dyDescent="0.2">
      <c r="A1359" s="234"/>
      <c r="B1359" s="26" t="s">
        <v>899</v>
      </c>
      <c r="C1359" s="25"/>
      <c r="D1359" s="29">
        <f>2*(4.37+4.44+4.31+1.57+3.92+4+4.31+4.02+4.38+4.33+1.59+4.34+4.28)</f>
        <v>99.72</v>
      </c>
      <c r="E1359" s="23"/>
      <c r="F1359" s="249"/>
      <c r="G1359" s="205"/>
    </row>
    <row r="1360" spans="1:7" x14ac:dyDescent="0.2">
      <c r="A1360" s="234"/>
      <c r="B1360" s="26"/>
      <c r="C1360" s="25"/>
      <c r="D1360" s="29"/>
      <c r="E1360" s="23"/>
      <c r="F1360" s="249"/>
      <c r="G1360" s="205"/>
    </row>
    <row r="1361" spans="1:13" x14ac:dyDescent="0.2">
      <c r="A1361" s="234"/>
      <c r="B1361" s="26" t="s">
        <v>776</v>
      </c>
      <c r="C1361" s="25"/>
      <c r="D1361" s="29"/>
      <c r="E1361" s="23"/>
      <c r="F1361" s="249"/>
      <c r="G1361" s="205"/>
    </row>
    <row r="1362" spans="1:13" ht="25.5" x14ac:dyDescent="0.2">
      <c r="A1362" s="339"/>
      <c r="B1362" s="354" t="s">
        <v>898</v>
      </c>
      <c r="C1362" s="347"/>
      <c r="D1362" s="342">
        <f>4.37+4.44+4.31+1.57+3.92+4+4.31+4.02+4.38+4.33+1.59+4.34+4.28</f>
        <v>49.86</v>
      </c>
      <c r="E1362" s="366"/>
      <c r="F1362" s="344"/>
      <c r="G1362" s="205"/>
    </row>
    <row r="1363" spans="1:13" x14ac:dyDescent="0.2">
      <c r="A1363" s="234"/>
      <c r="B1363" s="26"/>
      <c r="C1363" s="25"/>
      <c r="D1363" s="65"/>
      <c r="E1363" s="23"/>
      <c r="F1363" s="249"/>
      <c r="G1363" s="205"/>
    </row>
    <row r="1364" spans="1:13" x14ac:dyDescent="0.2">
      <c r="A1364" s="234"/>
      <c r="B1364" s="25" t="s">
        <v>900</v>
      </c>
      <c r="C1364" s="17" t="s">
        <v>39</v>
      </c>
      <c r="D1364" s="29">
        <f>SUM(D1353:D1363)</f>
        <v>242.58999999999997</v>
      </c>
      <c r="E1364" s="12"/>
      <c r="F1364" s="249">
        <f>E1364*D1364</f>
        <v>0</v>
      </c>
      <c r="G1364" s="194"/>
    </row>
    <row r="1365" spans="1:13" x14ac:dyDescent="0.2">
      <c r="A1365" s="234"/>
      <c r="B1365" s="74"/>
      <c r="C1365" s="17"/>
      <c r="D1365" s="29"/>
      <c r="E1365" s="23"/>
      <c r="F1365" s="235"/>
      <c r="G1365" s="194"/>
    </row>
    <row r="1366" spans="1:13" s="74" customFormat="1" ht="38.25" x14ac:dyDescent="0.2">
      <c r="A1366" s="234" t="s">
        <v>14</v>
      </c>
      <c r="B1366" s="91" t="s">
        <v>1013</v>
      </c>
      <c r="C1366" s="25"/>
      <c r="D1366" s="65"/>
      <c r="E1366" s="23"/>
      <c r="F1366" s="235"/>
      <c r="G1366" s="194"/>
      <c r="H1366" s="8"/>
      <c r="I1366" s="8"/>
      <c r="J1366" s="8"/>
      <c r="K1366" s="8"/>
      <c r="L1366" s="8"/>
      <c r="M1366" s="8"/>
    </row>
    <row r="1367" spans="1:13" s="74" customFormat="1" ht="89.25" x14ac:dyDescent="0.2">
      <c r="A1367" s="234"/>
      <c r="B1367" s="91" t="s">
        <v>1126</v>
      </c>
      <c r="C1367" s="25"/>
      <c r="D1367" s="65"/>
      <c r="E1367" s="23"/>
      <c r="F1367" s="235"/>
      <c r="G1367" s="194"/>
      <c r="H1367" s="454"/>
      <c r="I1367" s="8"/>
      <c r="J1367" s="8"/>
      <c r="K1367" s="8"/>
      <c r="L1367" s="8"/>
      <c r="M1367" s="8"/>
    </row>
    <row r="1368" spans="1:13" s="74" customFormat="1" ht="38.25" x14ac:dyDescent="0.2">
      <c r="A1368" s="234"/>
      <c r="B1368" s="91" t="s">
        <v>1127</v>
      </c>
      <c r="C1368" s="25"/>
      <c r="D1368" s="65"/>
      <c r="E1368" s="23"/>
      <c r="F1368" s="235"/>
      <c r="G1368" s="194"/>
      <c r="H1368" s="454"/>
      <c r="I1368" s="8"/>
      <c r="J1368" s="8"/>
      <c r="K1368" s="8"/>
      <c r="L1368" s="8"/>
      <c r="M1368" s="8"/>
    </row>
    <row r="1369" spans="1:13" s="74" customFormat="1" ht="76.5" x14ac:dyDescent="0.2">
      <c r="A1369" s="234"/>
      <c r="B1369" s="91" t="s">
        <v>901</v>
      </c>
      <c r="C1369" s="25"/>
      <c r="D1369" s="65"/>
      <c r="E1369" s="23"/>
      <c r="F1369" s="235"/>
      <c r="G1369" s="194"/>
      <c r="H1369" s="8"/>
      <c r="I1369" s="8"/>
      <c r="J1369" s="8"/>
      <c r="K1369" s="8"/>
      <c r="L1369" s="8"/>
      <c r="M1369" s="8"/>
    </row>
    <row r="1370" spans="1:13" s="74" customFormat="1" ht="76.5" x14ac:dyDescent="0.2">
      <c r="A1370" s="234"/>
      <c r="B1370" s="91" t="s">
        <v>902</v>
      </c>
      <c r="C1370" s="25"/>
      <c r="D1370" s="65"/>
      <c r="E1370" s="23"/>
      <c r="F1370" s="235"/>
      <c r="G1370" s="194"/>
      <c r="H1370" s="8"/>
      <c r="I1370" s="8"/>
      <c r="J1370" s="8"/>
      <c r="K1370" s="8"/>
      <c r="L1370" s="8"/>
      <c r="M1370" s="8"/>
    </row>
    <row r="1371" spans="1:13" s="74" customFormat="1" ht="63.75" x14ac:dyDescent="0.2">
      <c r="A1371" s="234"/>
      <c r="B1371" s="91" t="s">
        <v>903</v>
      </c>
      <c r="C1371" s="25"/>
      <c r="D1371" s="65"/>
      <c r="E1371" s="23"/>
      <c r="F1371" s="235"/>
      <c r="G1371" s="194"/>
      <c r="H1371" s="8"/>
      <c r="I1371" s="8"/>
      <c r="J1371" s="8"/>
      <c r="K1371" s="8"/>
      <c r="L1371" s="8"/>
      <c r="M1371" s="8"/>
    </row>
    <row r="1372" spans="1:13" s="74" customFormat="1" ht="38.25" x14ac:dyDescent="0.2">
      <c r="A1372" s="234"/>
      <c r="B1372" s="91" t="s">
        <v>904</v>
      </c>
      <c r="C1372" s="25"/>
      <c r="D1372" s="65"/>
      <c r="E1372" s="23"/>
      <c r="F1372" s="235"/>
      <c r="G1372" s="194"/>
      <c r="H1372" s="8"/>
      <c r="I1372" s="8"/>
      <c r="J1372" s="8"/>
      <c r="K1372" s="8"/>
      <c r="L1372" s="8"/>
      <c r="M1372" s="8"/>
    </row>
    <row r="1373" spans="1:13" s="74" customFormat="1" ht="25.5" x14ac:dyDescent="0.2">
      <c r="A1373" s="234"/>
      <c r="B1373" s="91" t="s">
        <v>905</v>
      </c>
      <c r="C1373" s="25"/>
      <c r="D1373" s="65"/>
      <c r="E1373" s="23"/>
      <c r="F1373" s="235"/>
      <c r="G1373" s="194"/>
      <c r="H1373" s="8"/>
      <c r="I1373" s="8"/>
      <c r="J1373" s="8"/>
      <c r="K1373" s="8"/>
      <c r="L1373" s="8"/>
      <c r="M1373" s="8"/>
    </row>
    <row r="1374" spans="1:13" s="74" customFormat="1" x14ac:dyDescent="0.2">
      <c r="A1374" s="234"/>
      <c r="B1374" s="96"/>
      <c r="C1374" s="25"/>
      <c r="D1374" s="65"/>
      <c r="E1374" s="23"/>
      <c r="F1374" s="235"/>
      <c r="G1374" s="194"/>
      <c r="H1374" s="8"/>
      <c r="I1374" s="8"/>
      <c r="J1374" s="8"/>
      <c r="K1374" s="8"/>
      <c r="L1374" s="8"/>
      <c r="M1374" s="8"/>
    </row>
    <row r="1375" spans="1:13" s="74" customFormat="1" ht="25.5" x14ac:dyDescent="0.2">
      <c r="A1375" s="247" t="s">
        <v>1568</v>
      </c>
      <c r="B1375" s="10" t="s">
        <v>852</v>
      </c>
      <c r="C1375" s="17"/>
      <c r="D1375" s="29"/>
      <c r="E1375" s="23"/>
      <c r="F1375" s="235"/>
      <c r="G1375" s="194"/>
      <c r="H1375" s="8"/>
      <c r="I1375" s="8"/>
      <c r="J1375" s="8"/>
      <c r="K1375" s="8"/>
      <c r="L1375" s="8"/>
      <c r="M1375" s="8"/>
    </row>
    <row r="1376" spans="1:13" ht="114.75" x14ac:dyDescent="0.2">
      <c r="A1376" s="247"/>
      <c r="B1376" s="91" t="s">
        <v>853</v>
      </c>
      <c r="C1376" s="17" t="s">
        <v>39</v>
      </c>
      <c r="D1376" s="323">
        <f>2.1*(3.51+6.27+1+2.48+5.36+3.72+5.13+6.31)+2.7*(2.65+1.76+7.68+13.72+2.1*2+6.5+1.3+7.6+3.5+3.1+13.5+6.12+1.56+7.97+18.51)-(2.1*2.1+1*1+1.8*1*2+1*1.6+2.7*2.4*6+1.55*1.6+1*1.6*2+1*1*3+1.8*1+2.1*2.1+1*0.6+1+2+1.8*1.5*2+1*2+1.8*1+1.6*2.6+1*1.6+1.8*1+1.8*1.5+1*2*2+0.8*2*2+1*0.6+1.6*2.25)</f>
        <v>241.20700000000005</v>
      </c>
      <c r="E1376" s="12"/>
      <c r="F1376" s="249">
        <f>E1376*D1376</f>
        <v>0</v>
      </c>
      <c r="G1376" s="205"/>
    </row>
    <row r="1377" spans="1:9" x14ac:dyDescent="0.2">
      <c r="A1377" s="247"/>
      <c r="B1377" s="91"/>
      <c r="C1377" s="17"/>
      <c r="D1377" s="323"/>
      <c r="E1377" s="12"/>
      <c r="F1377" s="249"/>
      <c r="G1377" s="205"/>
    </row>
    <row r="1378" spans="1:9" x14ac:dyDescent="0.2">
      <c r="A1378" s="379" t="s">
        <v>1569</v>
      </c>
      <c r="B1378" s="383" t="s">
        <v>1567</v>
      </c>
      <c r="C1378" s="363" t="s">
        <v>39</v>
      </c>
      <c r="D1378" s="384">
        <v>39.49</v>
      </c>
      <c r="E1378" s="343"/>
      <c r="F1378" s="344">
        <f>E1378*D1378</f>
        <v>0</v>
      </c>
      <c r="G1378" s="205"/>
    </row>
    <row r="1379" spans="1:9" x14ac:dyDescent="0.2">
      <c r="A1379" s="234"/>
      <c r="B1379" s="91"/>
      <c r="C1379" s="17"/>
      <c r="D1379" s="323"/>
      <c r="E1379" s="12"/>
      <c r="F1379" s="249"/>
      <c r="G1379" s="205"/>
    </row>
    <row r="1380" spans="1:9" ht="25.5" x14ac:dyDescent="0.2">
      <c r="A1380" s="234" t="s">
        <v>906</v>
      </c>
      <c r="B1380" s="66" t="s">
        <v>506</v>
      </c>
      <c r="C1380" s="25"/>
      <c r="D1380" s="29"/>
      <c r="E1380" s="23"/>
      <c r="F1380" s="235"/>
      <c r="G1380" s="194"/>
    </row>
    <row r="1381" spans="1:9" ht="102" x14ac:dyDescent="0.2">
      <c r="A1381" s="234"/>
      <c r="B1381" s="33" t="s">
        <v>507</v>
      </c>
      <c r="C1381" s="25"/>
      <c r="D1381" s="29"/>
      <c r="E1381" s="23"/>
      <c r="F1381" s="235"/>
      <c r="G1381" s="8"/>
    </row>
    <row r="1382" spans="1:9" ht="51" x14ac:dyDescent="0.2">
      <c r="A1382" s="234"/>
      <c r="B1382" s="33" t="s">
        <v>508</v>
      </c>
      <c r="C1382" s="25"/>
      <c r="D1382" s="29"/>
      <c r="E1382" s="23"/>
      <c r="F1382" s="235"/>
      <c r="G1382" s="8"/>
    </row>
    <row r="1383" spans="1:9" ht="25.5" x14ac:dyDescent="0.2">
      <c r="A1383" s="234"/>
      <c r="B1383" s="33" t="s">
        <v>499</v>
      </c>
      <c r="C1383" s="25"/>
      <c r="D1383" s="29"/>
      <c r="E1383" s="23"/>
      <c r="F1383" s="235"/>
      <c r="G1383" s="8"/>
    </row>
    <row r="1384" spans="1:9" ht="89.25" x14ac:dyDescent="0.2">
      <c r="A1384" s="234"/>
      <c r="B1384" s="33" t="s">
        <v>500</v>
      </c>
      <c r="C1384" s="25"/>
      <c r="D1384" s="29"/>
      <c r="E1384" s="23"/>
      <c r="F1384" s="235"/>
      <c r="G1384" s="8"/>
    </row>
    <row r="1385" spans="1:9" x14ac:dyDescent="0.2">
      <c r="A1385" s="234"/>
      <c r="B1385" s="9"/>
      <c r="C1385" s="25"/>
      <c r="D1385" s="29"/>
      <c r="E1385" s="23"/>
      <c r="F1385" s="235"/>
      <c r="G1385" s="8"/>
    </row>
    <row r="1386" spans="1:9" x14ac:dyDescent="0.2">
      <c r="A1386" s="234"/>
      <c r="B1386" s="139" t="s">
        <v>1290</v>
      </c>
      <c r="C1386" s="62"/>
      <c r="D1386" s="29"/>
      <c r="E1386" s="23"/>
      <c r="F1386" s="235"/>
      <c r="G1386" s="8"/>
    </row>
    <row r="1387" spans="1:9" x14ac:dyDescent="0.2">
      <c r="A1387" s="234"/>
      <c r="B1387" s="139"/>
      <c r="C1387" s="62"/>
      <c r="D1387" s="29"/>
      <c r="E1387" s="23"/>
      <c r="F1387" s="235"/>
      <c r="G1387" s="8"/>
    </row>
    <row r="1388" spans="1:9" x14ac:dyDescent="0.2">
      <c r="A1388" s="234"/>
      <c r="B1388" s="12" t="s">
        <v>28</v>
      </c>
      <c r="C1388" s="62"/>
      <c r="D1388" s="29"/>
      <c r="E1388" s="23"/>
      <c r="F1388" s="235"/>
      <c r="G1388" s="8"/>
    </row>
    <row r="1389" spans="1:9" ht="51" x14ac:dyDescent="0.2">
      <c r="A1389" s="234"/>
      <c r="B1389" s="24" t="s">
        <v>875</v>
      </c>
      <c r="C1389" s="62"/>
      <c r="D1389" s="52">
        <f>5.87+4.33+11.56+11.41+1.24+1.59+3.25+20.34+4.36+4.18+12.68+3.22+22.85+4.67+4.69+2.5+21.45+4.37+4.13+11.61+11.23+1.24+1.57+14.25</f>
        <v>188.59</v>
      </c>
      <c r="E1389" s="23"/>
      <c r="F1389" s="235"/>
      <c r="G1389" s="8"/>
    </row>
    <row r="1390" spans="1:9" x14ac:dyDescent="0.2">
      <c r="A1390" s="234"/>
      <c r="B1390" s="24"/>
      <c r="C1390" s="62"/>
      <c r="D1390" s="52"/>
      <c r="E1390" s="23"/>
      <c r="F1390" s="235"/>
      <c r="G1390" s="8"/>
    </row>
    <row r="1391" spans="1:9" x14ac:dyDescent="0.2">
      <c r="A1391" s="234"/>
      <c r="B1391" s="12" t="s">
        <v>746</v>
      </c>
      <c r="C1391" s="62"/>
      <c r="D1391" s="29"/>
      <c r="E1391" s="23"/>
      <c r="F1391" s="235"/>
      <c r="G1391" s="130"/>
    </row>
    <row r="1392" spans="1:9" x14ac:dyDescent="0.2">
      <c r="A1392" s="234"/>
      <c r="B1392" s="19" t="s">
        <v>887</v>
      </c>
      <c r="C1392" s="62"/>
      <c r="D1392" s="312">
        <f>3.45*(3.05+4.52)</f>
        <v>26.116499999999998</v>
      </c>
      <c r="E1392" s="23"/>
      <c r="F1392" s="235"/>
      <c r="G1392" s="24"/>
      <c r="H1392" s="62"/>
      <c r="I1392" s="24"/>
    </row>
    <row r="1393" spans="1:13" x14ac:dyDescent="0.2">
      <c r="A1393" s="234"/>
      <c r="B1393" s="12"/>
      <c r="C1393" s="62"/>
      <c r="D1393" s="29"/>
      <c r="E1393" s="23"/>
      <c r="F1393" s="235"/>
      <c r="G1393" s="24"/>
      <c r="H1393" s="62"/>
      <c r="I1393" s="24"/>
    </row>
    <row r="1394" spans="1:13" x14ac:dyDescent="0.2">
      <c r="A1394" s="234"/>
      <c r="B1394" s="19" t="s">
        <v>1623</v>
      </c>
      <c r="C1394" s="62" t="s">
        <v>39</v>
      </c>
      <c r="D1394" s="29">
        <f>SUM(D1389:D1393)</f>
        <v>214.70650000000001</v>
      </c>
      <c r="E1394" s="12"/>
      <c r="F1394" s="249">
        <f>E1394*D1394</f>
        <v>0</v>
      </c>
      <c r="G1394" s="8"/>
    </row>
    <row r="1395" spans="1:13" x14ac:dyDescent="0.2">
      <c r="A1395" s="234"/>
      <c r="B1395" s="14"/>
      <c r="C1395" s="62"/>
      <c r="D1395" s="29"/>
      <c r="E1395" s="12"/>
      <c r="F1395" s="249"/>
      <c r="G1395" s="8"/>
    </row>
    <row r="1396" spans="1:13" ht="114.75" x14ac:dyDescent="0.2">
      <c r="A1396" s="339" t="s">
        <v>121</v>
      </c>
      <c r="B1396" s="340" t="s">
        <v>1554</v>
      </c>
      <c r="C1396" s="341"/>
      <c r="D1396" s="342"/>
      <c r="E1396" s="343"/>
      <c r="F1396" s="344"/>
      <c r="G1396" s="8"/>
    </row>
    <row r="1397" spans="1:13" x14ac:dyDescent="0.2">
      <c r="A1397" s="234"/>
      <c r="B1397" s="110"/>
      <c r="C1397" s="62"/>
      <c r="D1397" s="29"/>
      <c r="E1397" s="11"/>
      <c r="F1397" s="249"/>
      <c r="G1397" s="8"/>
    </row>
    <row r="1398" spans="1:13" ht="89.25" x14ac:dyDescent="0.2">
      <c r="A1398" s="234"/>
      <c r="B1398" s="110" t="s">
        <v>1638</v>
      </c>
      <c r="C1398" s="62"/>
      <c r="D1398" s="29"/>
      <c r="E1398" s="11"/>
      <c r="F1398" s="249"/>
      <c r="G1398" s="8"/>
    </row>
    <row r="1399" spans="1:13" x14ac:dyDescent="0.2">
      <c r="A1399" s="234"/>
      <c r="B1399" s="16" t="s">
        <v>100</v>
      </c>
      <c r="C1399" s="27" t="s">
        <v>33</v>
      </c>
      <c r="D1399" s="321">
        <f>2*5</f>
        <v>10</v>
      </c>
      <c r="E1399" s="314"/>
      <c r="F1399" s="242">
        <f>E1399*D1399</f>
        <v>0</v>
      </c>
      <c r="G1399" s="8"/>
    </row>
    <row r="1400" spans="1:13" ht="13.5" thickBot="1" x14ac:dyDescent="0.25">
      <c r="A1400" s="234"/>
      <c r="B1400" s="141"/>
      <c r="C1400" s="25"/>
      <c r="D1400" s="29"/>
      <c r="E1400" s="23"/>
      <c r="F1400" s="235"/>
      <c r="G1400" s="8"/>
    </row>
    <row r="1401" spans="1:13" ht="15.75" thickBot="1" x14ac:dyDescent="0.25">
      <c r="A1401" s="271" t="str">
        <f>A1304</f>
        <v>7.</v>
      </c>
      <c r="B1401" s="131" t="s">
        <v>107</v>
      </c>
      <c r="C1401" s="132"/>
      <c r="D1401" s="326"/>
      <c r="E1401" s="142"/>
      <c r="F1401" s="272">
        <f>SUM(F1305:F1400)</f>
        <v>0</v>
      </c>
      <c r="G1401" s="198"/>
      <c r="H1401" s="4"/>
      <c r="I1401" s="3"/>
      <c r="J1401" s="3"/>
      <c r="K1401" s="3"/>
      <c r="L1401" s="3"/>
      <c r="M1401" s="2"/>
    </row>
    <row r="1402" spans="1:13" ht="15.75" thickBot="1" x14ac:dyDescent="0.25">
      <c r="A1402" s="262" t="s">
        <v>15</v>
      </c>
      <c r="B1402" s="49" t="s">
        <v>19</v>
      </c>
      <c r="C1402" s="50"/>
      <c r="D1402" s="324"/>
      <c r="E1402" s="140"/>
      <c r="F1402" s="273"/>
      <c r="G1402" s="198"/>
      <c r="H1402" s="4"/>
      <c r="I1402" s="3"/>
      <c r="J1402" s="3"/>
      <c r="K1402" s="3"/>
      <c r="L1402" s="3"/>
      <c r="M1402" s="2"/>
    </row>
    <row r="1403" spans="1:13" ht="15" x14ac:dyDescent="0.2">
      <c r="A1403" s="274"/>
      <c r="B1403" s="275" t="s">
        <v>62</v>
      </c>
      <c r="C1403" s="22"/>
      <c r="D1403" s="36"/>
      <c r="E1403" s="23"/>
      <c r="F1403" s="255"/>
      <c r="G1403" s="10"/>
    </row>
    <row r="1404" spans="1:13" ht="51" x14ac:dyDescent="0.2">
      <c r="A1404" s="234"/>
      <c r="B1404" s="276" t="s">
        <v>243</v>
      </c>
      <c r="C1404" s="25"/>
      <c r="D1404" s="65"/>
      <c r="E1404" s="23"/>
      <c r="F1404" s="235"/>
    </row>
    <row r="1405" spans="1:13" ht="51" x14ac:dyDescent="0.2">
      <c r="A1405" s="234"/>
      <c r="B1405" s="166" t="s">
        <v>244</v>
      </c>
      <c r="C1405" s="25"/>
      <c r="D1405" s="65"/>
      <c r="E1405" s="23"/>
      <c r="F1405" s="235"/>
    </row>
    <row r="1406" spans="1:13" ht="38.25" x14ac:dyDescent="0.2">
      <c r="A1406" s="234"/>
      <c r="B1406" s="166" t="s">
        <v>684</v>
      </c>
      <c r="C1406" s="25"/>
      <c r="D1406" s="65"/>
      <c r="E1406" s="23"/>
      <c r="F1406" s="235"/>
    </row>
    <row r="1407" spans="1:13" ht="38.25" x14ac:dyDescent="0.2">
      <c r="A1407" s="234"/>
      <c r="B1407" s="166" t="s">
        <v>245</v>
      </c>
      <c r="C1407" s="25"/>
      <c r="D1407" s="65"/>
      <c r="E1407" s="23"/>
      <c r="F1407" s="235"/>
    </row>
    <row r="1408" spans="1:13" ht="63.75" x14ac:dyDescent="0.2">
      <c r="A1408" s="234"/>
      <c r="B1408" s="166" t="s">
        <v>246</v>
      </c>
      <c r="C1408" s="25"/>
      <c r="D1408" s="65"/>
      <c r="E1408" s="23"/>
      <c r="F1408" s="235"/>
    </row>
    <row r="1409" spans="1:7" ht="25.5" x14ac:dyDescent="0.2">
      <c r="A1409" s="234"/>
      <c r="B1409" s="166" t="s">
        <v>247</v>
      </c>
      <c r="C1409" s="25"/>
      <c r="D1409" s="65"/>
      <c r="E1409" s="23"/>
      <c r="F1409" s="235"/>
    </row>
    <row r="1410" spans="1:7" ht="25.5" x14ac:dyDescent="0.2">
      <c r="A1410" s="234"/>
      <c r="B1410" s="166" t="s">
        <v>248</v>
      </c>
      <c r="C1410" s="25"/>
      <c r="D1410" s="65"/>
      <c r="E1410" s="23"/>
      <c r="F1410" s="235"/>
    </row>
    <row r="1411" spans="1:7" ht="51" x14ac:dyDescent="0.2">
      <c r="A1411" s="234"/>
      <c r="B1411" s="166" t="s">
        <v>509</v>
      </c>
      <c r="C1411" s="25"/>
      <c r="D1411" s="65"/>
      <c r="E1411" s="23"/>
      <c r="F1411" s="235"/>
    </row>
    <row r="1412" spans="1:7" x14ac:dyDescent="0.2">
      <c r="A1412" s="274"/>
      <c r="B1412" s="67"/>
      <c r="C1412" s="22"/>
      <c r="D1412" s="36"/>
      <c r="E1412" s="23"/>
      <c r="F1412" s="255"/>
      <c r="G1412" s="10"/>
    </row>
    <row r="1413" spans="1:7" ht="15" x14ac:dyDescent="0.2">
      <c r="A1413" s="307" t="s">
        <v>16</v>
      </c>
      <c r="B1413" s="160" t="s">
        <v>663</v>
      </c>
      <c r="C1413" s="22"/>
      <c r="D1413" s="36"/>
      <c r="E1413" s="23"/>
      <c r="F1413" s="255"/>
      <c r="G1413" s="10"/>
    </row>
    <row r="1414" spans="1:7" ht="15" x14ac:dyDescent="0.2">
      <c r="A1414" s="277"/>
      <c r="B1414" s="160"/>
      <c r="C1414" s="22"/>
      <c r="D1414" s="36"/>
      <c r="E1414" s="23"/>
      <c r="F1414" s="255"/>
      <c r="G1414" s="10"/>
    </row>
    <row r="1415" spans="1:7" ht="38.25" x14ac:dyDescent="0.2">
      <c r="A1415" s="278"/>
      <c r="B1415" s="34" t="s">
        <v>659</v>
      </c>
      <c r="C1415" s="22"/>
      <c r="D1415" s="36"/>
      <c r="E1415" s="23"/>
      <c r="F1415" s="255"/>
      <c r="G1415" s="10"/>
    </row>
    <row r="1416" spans="1:7" ht="76.5" x14ac:dyDescent="0.2">
      <c r="A1416" s="278"/>
      <c r="B1416" s="28" t="s">
        <v>1520</v>
      </c>
      <c r="C1416" s="22"/>
      <c r="D1416" s="36"/>
      <c r="E1416" s="23"/>
      <c r="F1416" s="255"/>
      <c r="G1416" s="10"/>
    </row>
    <row r="1417" spans="1:7" ht="51" x14ac:dyDescent="0.2">
      <c r="A1417" s="278"/>
      <c r="B1417" s="28" t="s">
        <v>1521</v>
      </c>
      <c r="C1417" s="22"/>
      <c r="D1417" s="36"/>
      <c r="E1417" s="23"/>
      <c r="F1417" s="255"/>
      <c r="G1417" s="10"/>
    </row>
    <row r="1418" spans="1:7" ht="38.25" x14ac:dyDescent="0.2">
      <c r="A1418" s="385"/>
      <c r="B1418" s="386" t="s">
        <v>1522</v>
      </c>
      <c r="C1418" s="387"/>
      <c r="D1418" s="388"/>
      <c r="E1418" s="366"/>
      <c r="F1418" s="373"/>
      <c r="G1418" s="10"/>
    </row>
    <row r="1419" spans="1:7" x14ac:dyDescent="0.2">
      <c r="A1419" s="278"/>
      <c r="B1419" s="28"/>
      <c r="C1419" s="22"/>
      <c r="D1419" s="36"/>
      <c r="E1419" s="23"/>
      <c r="F1419" s="255"/>
      <c r="G1419" s="10"/>
    </row>
    <row r="1420" spans="1:7" ht="63.75" x14ac:dyDescent="0.2">
      <c r="A1420" s="278"/>
      <c r="B1420" s="28" t="s">
        <v>1519</v>
      </c>
      <c r="C1420" s="22"/>
      <c r="D1420" s="36"/>
      <c r="E1420" s="23"/>
      <c r="F1420" s="255"/>
      <c r="G1420" s="10"/>
    </row>
    <row r="1421" spans="1:7" ht="51" x14ac:dyDescent="0.2">
      <c r="A1421" s="278"/>
      <c r="B1421" s="28" t="s">
        <v>1180</v>
      </c>
      <c r="C1421" s="22"/>
      <c r="D1421" s="36"/>
      <c r="E1421" s="23"/>
      <c r="F1421" s="255"/>
      <c r="G1421" s="10"/>
    </row>
    <row r="1422" spans="1:7" ht="63.75" x14ac:dyDescent="0.2">
      <c r="A1422" s="278"/>
      <c r="B1422" s="28" t="s">
        <v>660</v>
      </c>
      <c r="C1422" s="22"/>
      <c r="D1422" s="36"/>
      <c r="E1422" s="23"/>
      <c r="F1422" s="255"/>
      <c r="G1422" s="10"/>
    </row>
    <row r="1423" spans="1:7" ht="63.75" x14ac:dyDescent="0.2">
      <c r="A1423" s="278"/>
      <c r="B1423" s="28" t="s">
        <v>661</v>
      </c>
      <c r="C1423" s="22"/>
      <c r="D1423" s="36"/>
      <c r="E1423" s="23"/>
      <c r="F1423" s="255"/>
      <c r="G1423" s="10"/>
    </row>
    <row r="1424" spans="1:7" ht="25.5" x14ac:dyDescent="0.2">
      <c r="A1424" s="278"/>
      <c r="B1424" s="28" t="s">
        <v>242</v>
      </c>
      <c r="C1424" s="22"/>
      <c r="D1424" s="36"/>
      <c r="E1424" s="23"/>
      <c r="F1424" s="255"/>
      <c r="G1424" s="10"/>
    </row>
    <row r="1425" spans="1:13" ht="25.5" x14ac:dyDescent="0.2">
      <c r="A1425" s="278"/>
      <c r="B1425" s="28" t="s">
        <v>125</v>
      </c>
      <c r="C1425" s="22"/>
      <c r="D1425" s="36"/>
      <c r="E1425" s="23"/>
      <c r="F1425" s="255"/>
      <c r="G1425" s="10"/>
    </row>
    <row r="1426" spans="1:13" x14ac:dyDescent="0.2">
      <c r="A1426" s="278"/>
      <c r="B1426" s="28"/>
      <c r="C1426" s="22"/>
      <c r="D1426" s="36"/>
      <c r="E1426" s="23"/>
      <c r="F1426" s="255"/>
      <c r="G1426" s="10"/>
    </row>
    <row r="1427" spans="1:13" x14ac:dyDescent="0.2">
      <c r="A1427" s="278"/>
      <c r="B1427" s="12" t="s">
        <v>1301</v>
      </c>
      <c r="C1427" s="17"/>
      <c r="D1427" s="18"/>
      <c r="E1427" s="23"/>
      <c r="F1427" s="242"/>
      <c r="G1427" s="10"/>
    </row>
    <row r="1428" spans="1:13" ht="25.5" x14ac:dyDescent="0.2">
      <c r="A1428" s="278"/>
      <c r="B1428" s="28" t="s">
        <v>662</v>
      </c>
      <c r="C1428" s="17"/>
      <c r="D1428" s="18"/>
      <c r="E1428" s="23"/>
      <c r="F1428" s="242"/>
      <c r="G1428" s="10"/>
    </row>
    <row r="1429" spans="1:13" x14ac:dyDescent="0.2">
      <c r="A1429" s="278"/>
      <c r="B1429" s="12" t="s">
        <v>69</v>
      </c>
      <c r="C1429" s="17" t="s">
        <v>33</v>
      </c>
      <c r="D1429" s="42">
        <v>54</v>
      </c>
      <c r="E1429" s="12"/>
      <c r="F1429" s="242">
        <f>D1429*E1429</f>
        <v>0</v>
      </c>
      <c r="G1429" s="10"/>
    </row>
    <row r="1430" spans="1:13" x14ac:dyDescent="0.2">
      <c r="A1430" s="278"/>
      <c r="B1430" s="67"/>
      <c r="C1430" s="22"/>
      <c r="D1430" s="36"/>
      <c r="E1430" s="23"/>
      <c r="F1430" s="255"/>
      <c r="G1430" s="10"/>
    </row>
    <row r="1431" spans="1:13" ht="15" x14ac:dyDescent="0.2">
      <c r="A1431" s="307" t="s">
        <v>67</v>
      </c>
      <c r="B1431" s="160" t="s">
        <v>1181</v>
      </c>
      <c r="C1431" s="143"/>
      <c r="D1431" s="327"/>
      <c r="E1431" s="144"/>
      <c r="F1431" s="279"/>
      <c r="G1431" s="206"/>
      <c r="H1431" s="145"/>
      <c r="I1431" s="145"/>
      <c r="J1431" s="145"/>
      <c r="K1431" s="145"/>
      <c r="L1431" s="145"/>
      <c r="M1431" s="145"/>
    </row>
    <row r="1432" spans="1:13" ht="15" x14ac:dyDescent="0.2">
      <c r="A1432" s="277"/>
      <c r="B1432" s="160"/>
      <c r="C1432" s="143"/>
      <c r="D1432" s="327"/>
      <c r="E1432" s="144"/>
      <c r="F1432" s="279"/>
      <c r="G1432" s="206"/>
      <c r="H1432" s="145"/>
      <c r="I1432" s="145"/>
      <c r="J1432" s="145"/>
      <c r="K1432" s="145"/>
      <c r="L1432" s="145"/>
      <c r="M1432" s="145"/>
    </row>
    <row r="1433" spans="1:13" ht="25.5" x14ac:dyDescent="0.2">
      <c r="A1433" s="280"/>
      <c r="B1433" s="34" t="s">
        <v>510</v>
      </c>
      <c r="C1433" s="22"/>
      <c r="D1433" s="36"/>
      <c r="E1433" s="23"/>
      <c r="F1433" s="255"/>
      <c r="G1433" s="10"/>
    </row>
    <row r="1434" spans="1:13" ht="51" x14ac:dyDescent="0.2">
      <c r="A1434" s="234"/>
      <c r="B1434" s="28" t="s">
        <v>1523</v>
      </c>
      <c r="C1434" s="22"/>
      <c r="D1434" s="36"/>
      <c r="E1434" s="23"/>
      <c r="F1434" s="255"/>
      <c r="G1434" s="10"/>
      <c r="H1434" s="207"/>
      <c r="I1434" s="2"/>
    </row>
    <row r="1435" spans="1:13" ht="38.25" x14ac:dyDescent="0.2">
      <c r="A1435" s="234"/>
      <c r="B1435" s="28" t="s">
        <v>1182</v>
      </c>
      <c r="C1435" s="22"/>
      <c r="D1435" s="36"/>
      <c r="E1435" s="23"/>
      <c r="F1435" s="255"/>
      <c r="G1435" s="10"/>
      <c r="H1435" s="207"/>
      <c r="I1435" s="2"/>
    </row>
    <row r="1436" spans="1:13" ht="76.5" x14ac:dyDescent="0.2">
      <c r="A1436" s="339"/>
      <c r="B1436" s="386" t="s">
        <v>1524</v>
      </c>
      <c r="C1436" s="362"/>
      <c r="D1436" s="389"/>
      <c r="E1436" s="366"/>
      <c r="F1436" s="353"/>
    </row>
    <row r="1437" spans="1:13" x14ac:dyDescent="0.2">
      <c r="A1437" s="234"/>
      <c r="B1437" s="28"/>
      <c r="C1437" s="27"/>
      <c r="D1437" s="321"/>
      <c r="E1437" s="23"/>
      <c r="F1437" s="242"/>
    </row>
    <row r="1438" spans="1:13" ht="89.25" x14ac:dyDescent="0.2">
      <c r="A1438" s="234"/>
      <c r="B1438" s="28" t="s">
        <v>1183</v>
      </c>
      <c r="C1438" s="27"/>
      <c r="D1438" s="321"/>
      <c r="E1438" s="23"/>
      <c r="F1438" s="242"/>
    </row>
    <row r="1439" spans="1:13" ht="63.75" x14ac:dyDescent="0.2">
      <c r="A1439" s="234"/>
      <c r="B1439" s="28" t="s">
        <v>660</v>
      </c>
      <c r="C1439" s="27"/>
      <c r="D1439" s="321"/>
      <c r="E1439" s="23"/>
      <c r="F1439" s="242"/>
    </row>
    <row r="1440" spans="1:13" ht="63.75" x14ac:dyDescent="0.2">
      <c r="A1440" s="234"/>
      <c r="B1440" s="28" t="s">
        <v>661</v>
      </c>
      <c r="C1440" s="27"/>
      <c r="D1440" s="321"/>
      <c r="E1440" s="23"/>
      <c r="F1440" s="242"/>
    </row>
    <row r="1441" spans="1:13" ht="25.5" x14ac:dyDescent="0.2">
      <c r="A1441" s="234"/>
      <c r="B1441" s="28" t="s">
        <v>242</v>
      </c>
      <c r="C1441" s="27"/>
      <c r="D1441" s="321"/>
      <c r="E1441" s="23"/>
      <c r="F1441" s="242"/>
    </row>
    <row r="1442" spans="1:13" ht="25.5" x14ac:dyDescent="0.2">
      <c r="A1442" s="234"/>
      <c r="B1442" s="28" t="s">
        <v>125</v>
      </c>
      <c r="C1442" s="27"/>
      <c r="D1442" s="321"/>
      <c r="E1442" s="23"/>
      <c r="F1442" s="242"/>
    </row>
    <row r="1443" spans="1:13" x14ac:dyDescent="0.2">
      <c r="A1443" s="274"/>
      <c r="B1443" s="28"/>
      <c r="C1443" s="22"/>
      <c r="D1443" s="36"/>
      <c r="E1443" s="23"/>
      <c r="F1443" s="255"/>
      <c r="G1443" s="10"/>
      <c r="H1443" s="74"/>
      <c r="I1443" s="74"/>
      <c r="J1443" s="74"/>
      <c r="K1443" s="74"/>
      <c r="L1443" s="74"/>
      <c r="M1443" s="74"/>
    </row>
    <row r="1444" spans="1:13" x14ac:dyDescent="0.2">
      <c r="A1444" s="281"/>
      <c r="B1444" s="12" t="s">
        <v>113</v>
      </c>
      <c r="C1444" s="17"/>
      <c r="D1444" s="18"/>
      <c r="E1444" s="23"/>
      <c r="F1444" s="255"/>
      <c r="G1444" s="11"/>
    </row>
    <row r="1445" spans="1:13" x14ac:dyDescent="0.2">
      <c r="A1445" s="274"/>
      <c r="B1445" s="16" t="s">
        <v>527</v>
      </c>
      <c r="C1445" s="17" t="s">
        <v>33</v>
      </c>
      <c r="D1445" s="42">
        <v>49</v>
      </c>
      <c r="E1445" s="12"/>
      <c r="F1445" s="255">
        <f>D1445*E1445</f>
        <v>0</v>
      </c>
      <c r="G1445" s="11"/>
    </row>
    <row r="1446" spans="1:13" x14ac:dyDescent="0.2">
      <c r="A1446" s="274"/>
      <c r="B1446" s="16"/>
      <c r="C1446" s="17"/>
      <c r="D1446" s="42"/>
      <c r="E1446" s="23"/>
      <c r="F1446" s="255"/>
      <c r="G1446" s="11"/>
    </row>
    <row r="1447" spans="1:13" ht="15" x14ac:dyDescent="0.2">
      <c r="A1447" s="307" t="s">
        <v>68</v>
      </c>
      <c r="B1447" s="161" t="s">
        <v>1181</v>
      </c>
      <c r="C1447" s="143"/>
      <c r="D1447" s="327"/>
      <c r="E1447" s="144"/>
      <c r="F1447" s="279"/>
      <c r="G1447" s="11"/>
    </row>
    <row r="1448" spans="1:13" ht="15" x14ac:dyDescent="0.2">
      <c r="A1448" s="307"/>
      <c r="B1448" s="161"/>
      <c r="C1448" s="143"/>
      <c r="D1448" s="327"/>
      <c r="E1448" s="144"/>
      <c r="F1448" s="279"/>
      <c r="G1448" s="11"/>
    </row>
    <row r="1449" spans="1:13" ht="25.5" x14ac:dyDescent="0.2">
      <c r="A1449" s="282"/>
      <c r="B1449" s="28" t="s">
        <v>1186</v>
      </c>
      <c r="C1449" s="22"/>
      <c r="D1449" s="36"/>
      <c r="E1449" s="23"/>
      <c r="F1449" s="255"/>
      <c r="G1449" s="11"/>
    </row>
    <row r="1450" spans="1:13" ht="89.25" x14ac:dyDescent="0.2">
      <c r="A1450" s="234"/>
      <c r="B1450" s="28" t="s">
        <v>1525</v>
      </c>
      <c r="C1450" s="22"/>
      <c r="D1450" s="36"/>
      <c r="E1450" s="23"/>
      <c r="F1450" s="255"/>
      <c r="G1450" s="11"/>
    </row>
    <row r="1451" spans="1:13" ht="76.5" x14ac:dyDescent="0.2">
      <c r="A1451" s="234"/>
      <c r="B1451" s="28" t="s">
        <v>1526</v>
      </c>
      <c r="C1451" s="27"/>
      <c r="D1451" s="321"/>
      <c r="E1451" s="23"/>
      <c r="F1451" s="242"/>
      <c r="G1451" s="11"/>
    </row>
    <row r="1452" spans="1:13" ht="89.25" x14ac:dyDescent="0.2">
      <c r="A1452" s="339"/>
      <c r="B1452" s="386" t="s">
        <v>1183</v>
      </c>
      <c r="C1452" s="362"/>
      <c r="D1452" s="389"/>
      <c r="E1452" s="366"/>
      <c r="F1452" s="353"/>
      <c r="G1452" s="11"/>
    </row>
    <row r="1453" spans="1:13" x14ac:dyDescent="0.2">
      <c r="A1453" s="234"/>
      <c r="B1453" s="28"/>
      <c r="C1453" s="27"/>
      <c r="D1453" s="321"/>
      <c r="E1453" s="23"/>
      <c r="F1453" s="242"/>
      <c r="G1453" s="11"/>
    </row>
    <row r="1454" spans="1:13" ht="63.75" x14ac:dyDescent="0.2">
      <c r="A1454" s="234"/>
      <c r="B1454" s="28" t="s">
        <v>660</v>
      </c>
      <c r="C1454" s="27"/>
      <c r="D1454" s="321"/>
      <c r="E1454" s="23"/>
      <c r="F1454" s="242"/>
      <c r="G1454" s="11"/>
    </row>
    <row r="1455" spans="1:13" ht="25.5" x14ac:dyDescent="0.2">
      <c r="A1455" s="234"/>
      <c r="B1455" s="28" t="s">
        <v>242</v>
      </c>
      <c r="C1455" s="27"/>
      <c r="D1455" s="321"/>
      <c r="E1455" s="23"/>
      <c r="F1455" s="242"/>
      <c r="G1455" s="11"/>
    </row>
    <row r="1456" spans="1:13" ht="25.5" x14ac:dyDescent="0.2">
      <c r="A1456" s="274"/>
      <c r="B1456" s="28" t="s">
        <v>125</v>
      </c>
      <c r="C1456" s="22"/>
      <c r="D1456" s="36"/>
      <c r="E1456" s="23"/>
      <c r="F1456" s="255"/>
      <c r="G1456" s="11"/>
    </row>
    <row r="1457" spans="1:13" x14ac:dyDescent="0.2">
      <c r="A1457" s="274"/>
      <c r="B1457" s="28"/>
      <c r="C1457" s="22"/>
      <c r="D1457" s="36"/>
      <c r="E1457" s="23"/>
      <c r="F1457" s="255"/>
      <c r="G1457" s="11"/>
    </row>
    <row r="1458" spans="1:13" x14ac:dyDescent="0.2">
      <c r="A1458" s="281" t="s">
        <v>1184</v>
      </c>
      <c r="B1458" s="12" t="s">
        <v>114</v>
      </c>
      <c r="C1458" s="17"/>
      <c r="D1458" s="18"/>
      <c r="E1458" s="23"/>
      <c r="F1458" s="255"/>
      <c r="G1458" s="11"/>
    </row>
    <row r="1459" spans="1:13" ht="38.25" x14ac:dyDescent="0.2">
      <c r="A1459" s="281"/>
      <c r="B1459" s="20" t="s">
        <v>1302</v>
      </c>
      <c r="C1459" s="17"/>
      <c r="D1459" s="18"/>
      <c r="E1459" s="23"/>
      <c r="F1459" s="255"/>
      <c r="G1459" s="11"/>
    </row>
    <row r="1460" spans="1:13" x14ac:dyDescent="0.2">
      <c r="A1460" s="274"/>
      <c r="B1460" s="16" t="s">
        <v>526</v>
      </c>
      <c r="C1460" s="17" t="s">
        <v>33</v>
      </c>
      <c r="D1460" s="42">
        <v>64</v>
      </c>
      <c r="E1460" s="12"/>
      <c r="F1460" s="255">
        <f>D1460*E1460</f>
        <v>0</v>
      </c>
      <c r="G1460" s="11"/>
    </row>
    <row r="1461" spans="1:13" x14ac:dyDescent="0.2">
      <c r="A1461" s="274"/>
      <c r="B1461" s="16"/>
      <c r="C1461" s="17"/>
      <c r="D1461" s="42"/>
      <c r="E1461" s="23"/>
      <c r="F1461" s="255"/>
      <c r="G1461" s="11"/>
    </row>
    <row r="1462" spans="1:13" x14ac:dyDescent="0.2">
      <c r="A1462" s="281" t="s">
        <v>1185</v>
      </c>
      <c r="B1462" s="12" t="s">
        <v>1303</v>
      </c>
      <c r="C1462" s="17"/>
      <c r="D1462" s="18"/>
      <c r="E1462" s="23"/>
      <c r="F1462" s="255"/>
      <c r="G1462" s="11"/>
    </row>
    <row r="1463" spans="1:13" x14ac:dyDescent="0.2">
      <c r="A1463" s="281"/>
      <c r="B1463" s="12" t="s">
        <v>1187</v>
      </c>
      <c r="C1463" s="17"/>
      <c r="D1463" s="18"/>
      <c r="E1463" s="23"/>
      <c r="F1463" s="255"/>
      <c r="G1463" s="11"/>
    </row>
    <row r="1464" spans="1:13" x14ac:dyDescent="0.2">
      <c r="A1464" s="274"/>
      <c r="B1464" s="16" t="s">
        <v>526</v>
      </c>
      <c r="C1464" s="17" t="s">
        <v>33</v>
      </c>
      <c r="D1464" s="42">
        <v>5</v>
      </c>
      <c r="E1464" s="12"/>
      <c r="F1464" s="255">
        <f>D1464*E1464</f>
        <v>0</v>
      </c>
      <c r="G1464" s="11"/>
    </row>
    <row r="1465" spans="1:13" x14ac:dyDescent="0.2">
      <c r="A1465" s="274"/>
      <c r="B1465" s="67"/>
      <c r="C1465" s="22"/>
      <c r="D1465" s="36"/>
      <c r="E1465" s="23"/>
      <c r="F1465" s="255"/>
      <c r="G1465" s="10"/>
    </row>
    <row r="1466" spans="1:13" ht="30" x14ac:dyDescent="0.2">
      <c r="A1466" s="259" t="s">
        <v>273</v>
      </c>
      <c r="B1466" s="306" t="s">
        <v>511</v>
      </c>
      <c r="C1466" s="143"/>
      <c r="D1466" s="327"/>
      <c r="E1466" s="144"/>
      <c r="F1466" s="279"/>
      <c r="G1466" s="206"/>
      <c r="H1466" s="145"/>
      <c r="I1466" s="145"/>
      <c r="J1466" s="145"/>
      <c r="K1466" s="145"/>
      <c r="L1466" s="145"/>
      <c r="M1466" s="145"/>
    </row>
    <row r="1467" spans="1:13" ht="15" x14ac:dyDescent="0.2">
      <c r="A1467" s="280"/>
      <c r="B1467" s="161"/>
      <c r="C1467" s="143"/>
      <c r="D1467" s="327"/>
      <c r="E1467" s="144"/>
      <c r="F1467" s="279"/>
      <c r="G1467" s="206"/>
      <c r="H1467" s="145"/>
      <c r="I1467" s="145"/>
      <c r="J1467" s="145"/>
      <c r="K1467" s="145"/>
      <c r="L1467" s="145"/>
      <c r="M1467" s="145"/>
    </row>
    <row r="1468" spans="1:13" ht="38.25" x14ac:dyDescent="0.2">
      <c r="A1468" s="280"/>
      <c r="B1468" s="28" t="s">
        <v>512</v>
      </c>
      <c r="C1468" s="22"/>
      <c r="D1468" s="36"/>
      <c r="E1468" s="23"/>
      <c r="F1468" s="255"/>
      <c r="G1468" s="10"/>
    </row>
    <row r="1469" spans="1:13" ht="81.75" customHeight="1" x14ac:dyDescent="0.2">
      <c r="A1469" s="234"/>
      <c r="B1469" s="28" t="s">
        <v>1527</v>
      </c>
      <c r="C1469" s="22"/>
      <c r="D1469" s="36"/>
      <c r="E1469" s="23"/>
      <c r="F1469" s="255"/>
      <c r="G1469" s="10"/>
      <c r="H1469" s="207"/>
      <c r="I1469" s="2"/>
    </row>
    <row r="1470" spans="1:13" ht="76.5" x14ac:dyDescent="0.2">
      <c r="A1470" s="234"/>
      <c r="B1470" s="28" t="s">
        <v>1524</v>
      </c>
      <c r="C1470" s="27"/>
      <c r="D1470" s="321"/>
      <c r="E1470" s="23"/>
      <c r="F1470" s="242"/>
    </row>
    <row r="1471" spans="1:13" ht="30.75" customHeight="1" x14ac:dyDescent="0.2">
      <c r="A1471" s="234"/>
      <c r="B1471" s="1" t="s">
        <v>664</v>
      </c>
      <c r="C1471" s="27"/>
      <c r="D1471" s="321"/>
      <c r="E1471" s="23"/>
      <c r="F1471" s="242"/>
    </row>
    <row r="1472" spans="1:13" ht="63.75" x14ac:dyDescent="0.2">
      <c r="A1472" s="234"/>
      <c r="B1472" s="1" t="s">
        <v>1188</v>
      </c>
      <c r="C1472" s="27"/>
      <c r="D1472" s="321"/>
      <c r="E1472" s="23"/>
      <c r="F1472" s="242"/>
    </row>
    <row r="1473" spans="1:13" ht="38.25" x14ac:dyDescent="0.2">
      <c r="A1473" s="339"/>
      <c r="B1473" s="390" t="s">
        <v>1189</v>
      </c>
      <c r="C1473" s="362"/>
      <c r="D1473" s="389"/>
      <c r="E1473" s="366"/>
      <c r="F1473" s="353"/>
    </row>
    <row r="1474" spans="1:13" x14ac:dyDescent="0.2">
      <c r="A1474" s="234"/>
      <c r="B1474" s="1"/>
      <c r="C1474" s="27"/>
      <c r="D1474" s="321"/>
      <c r="E1474" s="23"/>
      <c r="F1474" s="242"/>
    </row>
    <row r="1475" spans="1:13" ht="63.75" x14ac:dyDescent="0.2">
      <c r="A1475" s="234"/>
      <c r="B1475" s="28" t="s">
        <v>660</v>
      </c>
      <c r="C1475" s="27"/>
      <c r="D1475" s="321"/>
      <c r="E1475" s="23"/>
      <c r="F1475" s="242"/>
    </row>
    <row r="1476" spans="1:13" ht="63.75" x14ac:dyDescent="0.2">
      <c r="A1476" s="234"/>
      <c r="B1476" s="1" t="s">
        <v>661</v>
      </c>
      <c r="C1476" s="27"/>
      <c r="D1476" s="321"/>
      <c r="E1476" s="23"/>
      <c r="F1476" s="242"/>
    </row>
    <row r="1477" spans="1:13" ht="25.5" x14ac:dyDescent="0.2">
      <c r="A1477" s="234"/>
      <c r="B1477" s="28" t="s">
        <v>125</v>
      </c>
      <c r="C1477" s="27"/>
      <c r="D1477" s="321"/>
      <c r="E1477" s="23"/>
      <c r="F1477" s="242"/>
    </row>
    <row r="1478" spans="1:13" x14ac:dyDescent="0.2">
      <c r="A1478" s="274"/>
      <c r="B1478" s="67"/>
      <c r="C1478" s="22"/>
      <c r="D1478" s="36"/>
      <c r="E1478" s="23"/>
      <c r="F1478" s="255"/>
      <c r="G1478" s="10"/>
    </row>
    <row r="1479" spans="1:13" x14ac:dyDescent="0.2">
      <c r="A1479" s="281"/>
      <c r="B1479" s="12" t="s">
        <v>528</v>
      </c>
      <c r="C1479" s="17"/>
      <c r="D1479" s="18"/>
      <c r="E1479" s="23"/>
      <c r="F1479" s="255"/>
      <c r="G1479" s="11"/>
    </row>
    <row r="1480" spans="1:13" x14ac:dyDescent="0.2">
      <c r="A1480" s="281"/>
      <c r="B1480" s="12" t="s">
        <v>1190</v>
      </c>
      <c r="C1480" s="17"/>
      <c r="D1480" s="18"/>
      <c r="E1480" s="23"/>
      <c r="F1480" s="255"/>
      <c r="G1480" s="11"/>
    </row>
    <row r="1481" spans="1:13" x14ac:dyDescent="0.2">
      <c r="A1481" s="274"/>
      <c r="B1481" s="16" t="s">
        <v>526</v>
      </c>
      <c r="C1481" s="17" t="s">
        <v>33</v>
      </c>
      <c r="D1481" s="42">
        <v>59</v>
      </c>
      <c r="E1481" s="12"/>
      <c r="F1481" s="255">
        <f>D1481*E1481</f>
        <v>0</v>
      </c>
      <c r="G1481" s="11"/>
    </row>
    <row r="1482" spans="1:13" x14ac:dyDescent="0.2">
      <c r="A1482" s="274"/>
      <c r="B1482" s="16"/>
      <c r="C1482" s="17"/>
      <c r="D1482" s="42"/>
      <c r="E1482" s="12"/>
      <c r="F1482" s="255"/>
      <c r="G1482" s="11"/>
    </row>
    <row r="1483" spans="1:13" ht="30" x14ac:dyDescent="0.2">
      <c r="A1483" s="259" t="s">
        <v>274</v>
      </c>
      <c r="B1483" s="306" t="s">
        <v>1304</v>
      </c>
      <c r="C1483" s="143"/>
      <c r="D1483" s="327"/>
      <c r="E1483" s="144"/>
      <c r="F1483" s="279"/>
      <c r="G1483" s="206"/>
      <c r="H1483" s="145"/>
      <c r="I1483" s="145"/>
      <c r="J1483" s="145"/>
      <c r="K1483" s="145"/>
      <c r="L1483" s="145"/>
      <c r="M1483" s="145"/>
    </row>
    <row r="1484" spans="1:13" ht="15" x14ac:dyDescent="0.2">
      <c r="A1484" s="280"/>
      <c r="B1484" s="161"/>
      <c r="C1484" s="143"/>
      <c r="D1484" s="327"/>
      <c r="E1484" s="144"/>
      <c r="F1484" s="279"/>
      <c r="G1484" s="206"/>
      <c r="H1484" s="145"/>
      <c r="I1484" s="145"/>
      <c r="J1484" s="145"/>
      <c r="K1484" s="145"/>
      <c r="L1484" s="145"/>
      <c r="M1484" s="145"/>
    </row>
    <row r="1485" spans="1:13" ht="102" x14ac:dyDescent="0.2">
      <c r="A1485" s="234"/>
      <c r="B1485" s="28" t="s">
        <v>1518</v>
      </c>
      <c r="C1485" s="22"/>
      <c r="D1485" s="36"/>
      <c r="E1485" s="23"/>
      <c r="F1485" s="255"/>
      <c r="G1485" s="10"/>
    </row>
    <row r="1486" spans="1:13" ht="102" x14ac:dyDescent="0.2">
      <c r="A1486" s="234"/>
      <c r="B1486" s="28" t="s">
        <v>1528</v>
      </c>
      <c r="C1486" s="22"/>
      <c r="D1486" s="36"/>
      <c r="E1486" s="23"/>
      <c r="F1486" s="255"/>
      <c r="G1486" s="10"/>
    </row>
    <row r="1487" spans="1:13" ht="114.75" x14ac:dyDescent="0.2">
      <c r="A1487" s="234"/>
      <c r="B1487" s="28" t="s">
        <v>1529</v>
      </c>
      <c r="C1487" s="22"/>
      <c r="D1487" s="36"/>
      <c r="E1487" s="23"/>
      <c r="F1487" s="255"/>
      <c r="G1487" s="12">
        <f>(33900)/120</f>
        <v>282.5</v>
      </c>
    </row>
    <row r="1488" spans="1:13" ht="63.75" x14ac:dyDescent="0.2">
      <c r="A1488" s="339"/>
      <c r="B1488" s="386" t="s">
        <v>1531</v>
      </c>
      <c r="C1488" s="387"/>
      <c r="D1488" s="388"/>
      <c r="E1488" s="366"/>
      <c r="F1488" s="373"/>
      <c r="G1488" s="10">
        <f>+(4658)/120</f>
        <v>38.81666666666667</v>
      </c>
    </row>
    <row r="1489" spans="1:13" x14ac:dyDescent="0.2">
      <c r="A1489" s="234"/>
      <c r="B1489" s="28"/>
      <c r="C1489" s="22"/>
      <c r="D1489" s="36"/>
      <c r="E1489" s="23"/>
      <c r="F1489" s="255"/>
      <c r="G1489" s="10"/>
    </row>
    <row r="1490" spans="1:13" ht="25.5" x14ac:dyDescent="0.2">
      <c r="A1490" s="234"/>
      <c r="B1490" s="28" t="s">
        <v>1532</v>
      </c>
      <c r="C1490" s="22"/>
      <c r="D1490" s="36"/>
      <c r="E1490" s="23"/>
      <c r="F1490" s="255"/>
      <c r="G1490" s="10"/>
    </row>
    <row r="1491" spans="1:13" ht="25.5" x14ac:dyDescent="0.2">
      <c r="A1491" s="234"/>
      <c r="B1491" s="28" t="s">
        <v>1533</v>
      </c>
      <c r="C1491" s="22"/>
      <c r="D1491" s="36"/>
      <c r="E1491" s="23"/>
      <c r="F1491" s="255"/>
      <c r="G1491" s="10"/>
    </row>
    <row r="1492" spans="1:13" x14ac:dyDescent="0.2">
      <c r="A1492" s="274"/>
      <c r="B1492" s="67"/>
      <c r="C1492" s="22"/>
      <c r="D1492" s="36"/>
      <c r="E1492" s="23"/>
      <c r="F1492" s="255"/>
      <c r="G1492" s="10">
        <f>300+40+80+60</f>
        <v>480</v>
      </c>
    </row>
    <row r="1493" spans="1:13" x14ac:dyDescent="0.2">
      <c r="A1493" s="281"/>
      <c r="B1493" s="12" t="s">
        <v>525</v>
      </c>
      <c r="C1493" s="17"/>
      <c r="D1493" s="18"/>
      <c r="E1493" s="23"/>
      <c r="F1493" s="255"/>
      <c r="G1493" s="11" t="s">
        <v>1305</v>
      </c>
    </row>
    <row r="1494" spans="1:13" x14ac:dyDescent="0.2">
      <c r="A1494" s="281"/>
      <c r="B1494" s="12" t="s">
        <v>1306</v>
      </c>
      <c r="C1494" s="17"/>
      <c r="D1494" s="18"/>
      <c r="E1494" s="23"/>
      <c r="F1494" s="255"/>
      <c r="G1494" s="11"/>
    </row>
    <row r="1495" spans="1:13" x14ac:dyDescent="0.2">
      <c r="A1495" s="274"/>
      <c r="B1495" s="16" t="s">
        <v>1307</v>
      </c>
      <c r="C1495" s="17" t="s">
        <v>33</v>
      </c>
      <c r="D1495" s="42">
        <v>9</v>
      </c>
      <c r="E1495" s="12"/>
      <c r="F1495" s="255">
        <f>D1495*E1495</f>
        <v>0</v>
      </c>
      <c r="G1495" s="11"/>
    </row>
    <row r="1496" spans="1:13" x14ac:dyDescent="0.2">
      <c r="A1496" s="274"/>
      <c r="B1496" s="16"/>
      <c r="C1496" s="17"/>
      <c r="D1496" s="42"/>
      <c r="E1496" s="12"/>
      <c r="F1496" s="255"/>
      <c r="G1496" s="11"/>
    </row>
    <row r="1497" spans="1:13" ht="15" x14ac:dyDescent="0.2">
      <c r="A1497" s="259" t="s">
        <v>295</v>
      </c>
      <c r="B1497" s="161" t="s">
        <v>1308</v>
      </c>
      <c r="C1497" s="143"/>
      <c r="D1497" s="327"/>
      <c r="E1497" s="144"/>
      <c r="F1497" s="279"/>
      <c r="G1497" s="206"/>
      <c r="H1497" s="145"/>
      <c r="I1497" s="145"/>
      <c r="J1497" s="145"/>
      <c r="K1497" s="145"/>
      <c r="L1497" s="145"/>
      <c r="M1497" s="145"/>
    </row>
    <row r="1498" spans="1:13" ht="15" x14ac:dyDescent="0.2">
      <c r="A1498" s="280"/>
      <c r="B1498" s="161"/>
      <c r="C1498" s="143"/>
      <c r="D1498" s="327"/>
      <c r="E1498" s="144"/>
      <c r="F1498" s="279"/>
      <c r="G1498" s="206"/>
      <c r="H1498" s="145"/>
      <c r="I1498" s="145"/>
      <c r="J1498" s="145"/>
      <c r="K1498" s="145"/>
      <c r="L1498" s="145"/>
      <c r="M1498" s="145"/>
    </row>
    <row r="1499" spans="1:13" ht="51" x14ac:dyDescent="0.2">
      <c r="A1499" s="234"/>
      <c r="B1499" s="28" t="s">
        <v>1309</v>
      </c>
      <c r="C1499" s="22"/>
      <c r="D1499" s="36"/>
      <c r="E1499" s="23"/>
      <c r="F1499" s="255"/>
      <c r="G1499" s="10"/>
    </row>
    <row r="1500" spans="1:13" ht="38.25" x14ac:dyDescent="0.2">
      <c r="A1500" s="234"/>
      <c r="B1500" s="28" t="s">
        <v>1310</v>
      </c>
      <c r="C1500" s="22"/>
      <c r="D1500" s="36"/>
      <c r="E1500" s="23"/>
      <c r="F1500" s="255"/>
      <c r="G1500" s="10"/>
    </row>
    <row r="1501" spans="1:13" ht="25.5" x14ac:dyDescent="0.2">
      <c r="A1501" s="234"/>
      <c r="B1501" s="28" t="s">
        <v>1311</v>
      </c>
      <c r="C1501" s="22"/>
      <c r="D1501" s="36"/>
      <c r="E1501" s="23"/>
      <c r="F1501" s="255"/>
      <c r="G1501" s="10"/>
    </row>
    <row r="1502" spans="1:13" ht="25.5" x14ac:dyDescent="0.2">
      <c r="A1502" s="234"/>
      <c r="B1502" s="28" t="s">
        <v>1530</v>
      </c>
      <c r="C1502" s="22"/>
      <c r="D1502" s="36"/>
      <c r="E1502" s="23"/>
      <c r="F1502" s="255"/>
      <c r="G1502" s="10"/>
    </row>
    <row r="1503" spans="1:13" x14ac:dyDescent="0.2">
      <c r="A1503" s="234"/>
      <c r="B1503" s="28"/>
      <c r="C1503" s="22"/>
      <c r="D1503" s="36"/>
      <c r="E1503" s="23"/>
      <c r="F1503" s="255"/>
      <c r="G1503" s="10"/>
    </row>
    <row r="1504" spans="1:13" x14ac:dyDescent="0.2">
      <c r="A1504" s="281"/>
      <c r="B1504" s="12" t="s">
        <v>1312</v>
      </c>
      <c r="C1504" s="17"/>
      <c r="D1504" s="18"/>
      <c r="E1504" s="23"/>
      <c r="F1504" s="255"/>
      <c r="G1504" s="11"/>
    </row>
    <row r="1505" spans="1:7" x14ac:dyDescent="0.2">
      <c r="A1505" s="281"/>
      <c r="B1505" s="12" t="s">
        <v>1308</v>
      </c>
      <c r="C1505" s="17"/>
      <c r="D1505" s="18"/>
      <c r="E1505" s="23"/>
      <c r="F1505" s="255"/>
      <c r="G1505" s="11"/>
    </row>
    <row r="1506" spans="1:7" x14ac:dyDescent="0.2">
      <c r="A1506" s="274"/>
      <c r="B1506" s="16" t="s">
        <v>1313</v>
      </c>
      <c r="C1506" s="17" t="s">
        <v>33</v>
      </c>
      <c r="D1506" s="42">
        <v>1</v>
      </c>
      <c r="E1506" s="12"/>
      <c r="F1506" s="255">
        <f>D1506*E1506</f>
        <v>0</v>
      </c>
      <c r="G1506" s="11"/>
    </row>
    <row r="1507" spans="1:7" x14ac:dyDescent="0.2">
      <c r="A1507" s="274"/>
      <c r="B1507" s="67"/>
      <c r="C1507" s="22"/>
      <c r="D1507" s="36"/>
      <c r="E1507" s="23"/>
      <c r="F1507" s="255"/>
      <c r="G1507" s="10"/>
    </row>
    <row r="1508" spans="1:7" ht="15" x14ac:dyDescent="0.2">
      <c r="A1508" s="274" t="s">
        <v>306</v>
      </c>
      <c r="B1508" s="161" t="s">
        <v>1594</v>
      </c>
      <c r="C1508" s="22"/>
      <c r="D1508" s="22"/>
      <c r="E1508" s="23"/>
      <c r="F1508" s="255"/>
      <c r="G1508" s="10"/>
    </row>
    <row r="1509" spans="1:7" x14ac:dyDescent="0.2">
      <c r="A1509" s="274"/>
      <c r="B1509" s="67"/>
      <c r="C1509" s="22"/>
      <c r="D1509" s="22"/>
      <c r="E1509" s="23"/>
      <c r="F1509" s="255"/>
      <c r="G1509" s="10"/>
    </row>
    <row r="1510" spans="1:7" ht="76.5" x14ac:dyDescent="0.2">
      <c r="A1510" s="274"/>
      <c r="B1510" s="28" t="s">
        <v>1595</v>
      </c>
      <c r="C1510" s="22"/>
      <c r="D1510" s="22"/>
      <c r="E1510" s="23"/>
      <c r="F1510" s="255"/>
      <c r="G1510" s="10"/>
    </row>
    <row r="1511" spans="1:7" ht="25.5" x14ac:dyDescent="0.2">
      <c r="A1511" s="274"/>
      <c r="B1511" s="28" t="s">
        <v>1596</v>
      </c>
      <c r="C1511" s="22"/>
      <c r="D1511" s="22"/>
      <c r="E1511" s="23"/>
      <c r="F1511" s="255"/>
      <c r="G1511" s="10"/>
    </row>
    <row r="1512" spans="1:7" x14ac:dyDescent="0.2">
      <c r="A1512" s="274"/>
      <c r="B1512" s="28" t="s">
        <v>1597</v>
      </c>
      <c r="C1512" s="22"/>
      <c r="D1512" s="22"/>
      <c r="E1512" s="23"/>
      <c r="F1512" s="255"/>
    </row>
    <row r="1513" spans="1:7" ht="25.5" x14ac:dyDescent="0.2">
      <c r="A1513" s="274"/>
      <c r="B1513" s="28" t="s">
        <v>1598</v>
      </c>
      <c r="C1513" s="22"/>
      <c r="D1513" s="22"/>
      <c r="E1513" s="23"/>
      <c r="F1513" s="255"/>
    </row>
    <row r="1514" spans="1:7" ht="51" x14ac:dyDescent="0.2">
      <c r="A1514" s="274"/>
      <c r="B1514" s="28" t="s">
        <v>1599</v>
      </c>
      <c r="C1514" s="22"/>
      <c r="D1514" s="22"/>
      <c r="E1514" s="23"/>
      <c r="F1514" s="255"/>
    </row>
    <row r="1515" spans="1:7" x14ac:dyDescent="0.2">
      <c r="A1515" s="274"/>
      <c r="B1515" s="28" t="s">
        <v>514</v>
      </c>
      <c r="C1515" s="22"/>
      <c r="D1515" s="22"/>
      <c r="E1515" s="23"/>
      <c r="F1515" s="255"/>
    </row>
    <row r="1516" spans="1:7" ht="25.5" x14ac:dyDescent="0.2">
      <c r="A1516" s="274"/>
      <c r="B1516" s="21" t="s">
        <v>1600</v>
      </c>
      <c r="C1516" s="22"/>
      <c r="D1516" s="22"/>
      <c r="E1516" s="23"/>
      <c r="F1516" s="255"/>
    </row>
    <row r="1517" spans="1:7" x14ac:dyDescent="0.2">
      <c r="A1517" s="274"/>
      <c r="B1517" s="21"/>
      <c r="C1517" s="22"/>
      <c r="D1517" s="22"/>
      <c r="E1517" s="23"/>
      <c r="F1517" s="255"/>
    </row>
    <row r="1518" spans="1:7" x14ac:dyDescent="0.2">
      <c r="A1518" s="274"/>
      <c r="B1518" s="138" t="s">
        <v>123</v>
      </c>
      <c r="C1518" s="22"/>
      <c r="D1518" s="22"/>
      <c r="E1518" s="23"/>
      <c r="F1518" s="255"/>
    </row>
    <row r="1519" spans="1:7" x14ac:dyDescent="0.2">
      <c r="A1519" s="435"/>
      <c r="B1519" s="391" t="s">
        <v>1601</v>
      </c>
      <c r="C1519" s="392"/>
      <c r="D1519" s="393">
        <f>2.75+1.78+2.88+1.73+2.15</f>
        <v>11.290000000000001</v>
      </c>
      <c r="E1519" s="394"/>
      <c r="F1519" s="395">
        <f>D1519*E1519</f>
        <v>0</v>
      </c>
      <c r="G1519" s="11"/>
    </row>
    <row r="1520" spans="1:7" x14ac:dyDescent="0.2">
      <c r="A1520" s="436"/>
      <c r="B1520" s="66"/>
      <c r="C1520" s="22"/>
      <c r="D1520" s="102"/>
      <c r="E1520" s="23"/>
      <c r="F1520" s="255"/>
      <c r="G1520" s="11"/>
    </row>
    <row r="1521" spans="1:13" x14ac:dyDescent="0.2">
      <c r="A1521" s="274"/>
      <c r="B1521" s="66" t="s">
        <v>746</v>
      </c>
      <c r="C1521" s="22"/>
      <c r="D1521" s="102"/>
      <c r="E1521" s="23"/>
      <c r="F1521" s="255"/>
      <c r="G1521" s="11"/>
    </row>
    <row r="1522" spans="1:13" x14ac:dyDescent="0.2">
      <c r="A1522" s="274"/>
      <c r="B1522" s="66" t="s">
        <v>1602</v>
      </c>
      <c r="C1522" s="22"/>
      <c r="D1522" s="141">
        <f>2.75+1.78+2.88+1.73+2.15+2</f>
        <v>13.290000000000001</v>
      </c>
      <c r="E1522" s="23"/>
      <c r="F1522" s="255"/>
      <c r="G1522" s="10"/>
    </row>
    <row r="1523" spans="1:13" x14ac:dyDescent="0.2">
      <c r="A1523" s="274"/>
      <c r="B1523" s="66"/>
      <c r="C1523" s="22"/>
      <c r="D1523" s="102"/>
      <c r="E1523" s="23"/>
      <c r="F1523" s="255"/>
      <c r="G1523" s="10"/>
    </row>
    <row r="1524" spans="1:13" x14ac:dyDescent="0.2">
      <c r="A1524" s="274"/>
      <c r="B1524" s="66" t="s">
        <v>750</v>
      </c>
      <c r="C1524" s="22"/>
      <c r="D1524" s="102"/>
      <c r="E1524" s="23"/>
      <c r="F1524" s="255"/>
      <c r="G1524" s="10"/>
    </row>
    <row r="1525" spans="1:13" x14ac:dyDescent="0.2">
      <c r="A1525" s="274"/>
      <c r="B1525" s="66" t="s">
        <v>1603</v>
      </c>
      <c r="C1525" s="22"/>
      <c r="D1525" s="141">
        <f>2*(2.75+1.78+2.88+1.73+2.15+2)</f>
        <v>26.580000000000002</v>
      </c>
      <c r="E1525" s="23"/>
      <c r="F1525" s="255"/>
      <c r="G1525" s="10"/>
    </row>
    <row r="1526" spans="1:13" x14ac:dyDescent="0.2">
      <c r="A1526" s="274"/>
      <c r="B1526" s="66"/>
      <c r="C1526" s="22"/>
      <c r="D1526" s="102"/>
      <c r="E1526" s="23"/>
      <c r="F1526" s="255"/>
      <c r="G1526" s="10"/>
    </row>
    <row r="1527" spans="1:13" x14ac:dyDescent="0.2">
      <c r="A1527" s="274"/>
      <c r="B1527" s="66" t="s">
        <v>776</v>
      </c>
      <c r="C1527" s="22"/>
      <c r="D1527" s="102"/>
      <c r="E1527" s="23"/>
      <c r="F1527" s="255"/>
      <c r="G1527" s="10"/>
    </row>
    <row r="1528" spans="1:13" x14ac:dyDescent="0.2">
      <c r="A1528" s="274"/>
      <c r="B1528" s="66" t="s">
        <v>1602</v>
      </c>
      <c r="C1528" s="22"/>
      <c r="D1528" s="141">
        <f>2.75+1.78+2.88+1.73+2.15+2</f>
        <v>13.290000000000001</v>
      </c>
      <c r="E1528" s="23"/>
      <c r="F1528" s="255"/>
      <c r="G1528" s="10"/>
    </row>
    <row r="1529" spans="1:13" x14ac:dyDescent="0.2">
      <c r="A1529" s="274"/>
      <c r="B1529" s="66"/>
      <c r="C1529" s="22"/>
      <c r="D1529" s="75"/>
      <c r="E1529" s="23"/>
      <c r="F1529" s="255"/>
      <c r="G1529" s="10"/>
    </row>
    <row r="1530" spans="1:13" x14ac:dyDescent="0.2">
      <c r="A1530" s="274"/>
      <c r="B1530" s="66" t="s">
        <v>1604</v>
      </c>
      <c r="C1530" s="22" t="s">
        <v>40</v>
      </c>
      <c r="D1530" s="75">
        <f>SUM(D1519:D1528)</f>
        <v>64.45</v>
      </c>
      <c r="E1530" s="23"/>
      <c r="F1530" s="255">
        <f>D1530*E1530</f>
        <v>0</v>
      </c>
      <c r="G1530" s="10"/>
    </row>
    <row r="1531" spans="1:13" x14ac:dyDescent="0.2">
      <c r="A1531" s="274"/>
      <c r="B1531" s="67"/>
      <c r="C1531" s="22"/>
      <c r="D1531" s="36"/>
      <c r="E1531" s="23"/>
      <c r="F1531" s="255"/>
      <c r="G1531" s="10"/>
    </row>
    <row r="1532" spans="1:13" ht="15" x14ac:dyDescent="0.2">
      <c r="A1532" s="259" t="s">
        <v>1591</v>
      </c>
      <c r="B1532" s="161" t="s">
        <v>646</v>
      </c>
      <c r="C1532" s="143"/>
      <c r="D1532" s="327"/>
      <c r="E1532" s="144"/>
      <c r="F1532" s="279"/>
      <c r="G1532" s="206"/>
      <c r="H1532" s="145"/>
      <c r="I1532" s="145"/>
      <c r="J1532" s="145"/>
      <c r="K1532" s="145"/>
      <c r="L1532" s="145"/>
      <c r="M1532" s="145"/>
    </row>
    <row r="1533" spans="1:13" ht="15" x14ac:dyDescent="0.2">
      <c r="A1533" s="234"/>
      <c r="B1533" s="161"/>
      <c r="C1533" s="143"/>
      <c r="D1533" s="327"/>
      <c r="E1533" s="144"/>
      <c r="F1533" s="279"/>
      <c r="G1533" s="206"/>
      <c r="H1533" s="145"/>
      <c r="I1533" s="145"/>
      <c r="J1533" s="145"/>
      <c r="K1533" s="145"/>
      <c r="L1533" s="145"/>
      <c r="M1533" s="145"/>
    </row>
    <row r="1534" spans="1:13" ht="51" x14ac:dyDescent="0.2">
      <c r="A1534" s="274"/>
      <c r="B1534" s="28" t="s">
        <v>1641</v>
      </c>
      <c r="C1534" s="22"/>
      <c r="D1534" s="36"/>
      <c r="E1534" s="23"/>
      <c r="F1534" s="255"/>
      <c r="G1534" s="10"/>
    </row>
    <row r="1535" spans="1:13" ht="25.5" x14ac:dyDescent="0.2">
      <c r="A1535" s="274"/>
      <c r="B1535" s="28" t="s">
        <v>513</v>
      </c>
      <c r="C1535" s="22"/>
      <c r="D1535" s="36"/>
      <c r="E1535" s="23"/>
      <c r="F1535" s="255"/>
      <c r="G1535" s="10"/>
    </row>
    <row r="1536" spans="1:13" x14ac:dyDescent="0.2">
      <c r="A1536" s="274"/>
      <c r="B1536" s="28" t="s">
        <v>514</v>
      </c>
      <c r="C1536" s="22"/>
      <c r="D1536" s="36"/>
      <c r="E1536" s="23"/>
      <c r="F1536" s="255"/>
      <c r="G1536" s="10"/>
    </row>
    <row r="1537" spans="1:7" ht="25.5" x14ac:dyDescent="0.2">
      <c r="A1537" s="274"/>
      <c r="B1537" s="28" t="s">
        <v>515</v>
      </c>
      <c r="C1537" s="22"/>
      <c r="D1537" s="36"/>
      <c r="E1537" s="23"/>
      <c r="F1537" s="255"/>
      <c r="G1537" s="10"/>
    </row>
    <row r="1538" spans="1:7" x14ac:dyDescent="0.2">
      <c r="A1538" s="281"/>
      <c r="B1538" s="67"/>
      <c r="C1538" s="22"/>
      <c r="D1538" s="36"/>
      <c r="E1538" s="23"/>
      <c r="F1538" s="255"/>
      <c r="G1538" s="10"/>
    </row>
    <row r="1539" spans="1:7" x14ac:dyDescent="0.2">
      <c r="A1539" s="281" t="s">
        <v>1592</v>
      </c>
      <c r="B1539" s="12" t="s">
        <v>1314</v>
      </c>
      <c r="C1539" s="17" t="s">
        <v>33</v>
      </c>
      <c r="D1539" s="42">
        <v>64</v>
      </c>
      <c r="E1539" s="12"/>
      <c r="F1539" s="255">
        <f>D1539*E1539</f>
        <v>0</v>
      </c>
      <c r="G1539" s="11"/>
    </row>
    <row r="1540" spans="1:7" x14ac:dyDescent="0.2">
      <c r="A1540" s="281"/>
      <c r="B1540" s="67"/>
      <c r="C1540" s="22"/>
      <c r="D1540" s="42"/>
      <c r="E1540" s="23"/>
      <c r="F1540" s="255"/>
      <c r="G1540" s="10"/>
    </row>
    <row r="1541" spans="1:7" x14ac:dyDescent="0.2">
      <c r="A1541" s="281" t="s">
        <v>1593</v>
      </c>
      <c r="B1541" s="12" t="s">
        <v>665</v>
      </c>
      <c r="C1541" s="17" t="s">
        <v>33</v>
      </c>
      <c r="D1541" s="42">
        <v>54</v>
      </c>
      <c r="E1541" s="12"/>
      <c r="F1541" s="255">
        <f>D1541*E1541</f>
        <v>0</v>
      </c>
      <c r="G1541" s="10"/>
    </row>
    <row r="1542" spans="1:7" ht="13.5" thickBot="1" x14ac:dyDescent="0.25">
      <c r="A1542" s="437"/>
      <c r="B1542" s="85"/>
      <c r="C1542" s="86"/>
      <c r="D1542" s="328"/>
      <c r="E1542" s="85"/>
      <c r="F1542" s="283"/>
      <c r="G1542" s="11"/>
    </row>
    <row r="1543" spans="1:7" ht="17.100000000000001" customHeight="1" thickBot="1" x14ac:dyDescent="0.25">
      <c r="A1543" s="261" t="str">
        <f>A1402</f>
        <v>8.</v>
      </c>
      <c r="B1543" s="49" t="s">
        <v>48</v>
      </c>
      <c r="C1543" s="50"/>
      <c r="D1543" s="324"/>
      <c r="E1543" s="146"/>
      <c r="F1543" s="244">
        <f>SUM(F1408:F1542)</f>
        <v>0</v>
      </c>
      <c r="G1543" s="198"/>
    </row>
    <row r="1544" spans="1:7" ht="17.100000000000001" customHeight="1" thickBot="1" x14ac:dyDescent="0.25">
      <c r="A1544" s="261" t="s">
        <v>84</v>
      </c>
      <c r="B1544" s="49" t="s">
        <v>126</v>
      </c>
      <c r="C1544" s="50"/>
      <c r="D1544" s="324"/>
      <c r="E1544" s="140"/>
      <c r="F1544" s="273"/>
      <c r="G1544" s="198"/>
    </row>
    <row r="1545" spans="1:7" x14ac:dyDescent="0.2">
      <c r="A1545" s="274"/>
      <c r="B1545" s="67"/>
      <c r="C1545" s="22"/>
      <c r="D1545" s="36"/>
      <c r="E1545" s="23"/>
      <c r="F1545" s="255"/>
      <c r="G1545" s="10"/>
    </row>
    <row r="1546" spans="1:7" x14ac:dyDescent="0.2">
      <c r="A1546" s="274"/>
      <c r="B1546" s="12" t="s">
        <v>62</v>
      </c>
      <c r="C1546" s="22"/>
      <c r="D1546" s="36"/>
      <c r="E1546" s="23"/>
      <c r="F1546" s="255"/>
      <c r="G1546" s="10"/>
    </row>
    <row r="1547" spans="1:7" ht="89.25" x14ac:dyDescent="0.2">
      <c r="A1547" s="274"/>
      <c r="B1547" s="123" t="s">
        <v>680</v>
      </c>
      <c r="C1547" s="22"/>
      <c r="D1547" s="36"/>
      <c r="E1547" s="23"/>
      <c r="F1547" s="255"/>
      <c r="G1547" s="10"/>
    </row>
    <row r="1548" spans="1:7" ht="38.25" x14ac:dyDescent="0.2">
      <c r="A1548" s="274"/>
      <c r="B1548" s="123" t="s">
        <v>128</v>
      </c>
      <c r="C1548" s="22"/>
      <c r="D1548" s="36"/>
      <c r="E1548" s="23"/>
      <c r="F1548" s="255"/>
      <c r="G1548" s="10"/>
    </row>
    <row r="1549" spans="1:7" ht="51" x14ac:dyDescent="0.2">
      <c r="A1549" s="274"/>
      <c r="B1549" s="123" t="s">
        <v>129</v>
      </c>
      <c r="C1549" s="22"/>
      <c r="D1549" s="36"/>
      <c r="E1549" s="23"/>
      <c r="F1549" s="255"/>
      <c r="G1549" s="208"/>
    </row>
    <row r="1550" spans="1:7" ht="78.75" customHeight="1" x14ac:dyDescent="0.2">
      <c r="A1550" s="274"/>
      <c r="B1550" s="123" t="s">
        <v>255</v>
      </c>
      <c r="C1550" s="22"/>
      <c r="D1550" s="36"/>
      <c r="E1550" s="23"/>
      <c r="F1550" s="255"/>
      <c r="G1550" s="10"/>
    </row>
    <row r="1551" spans="1:7" ht="38.25" x14ac:dyDescent="0.2">
      <c r="A1551" s="274"/>
      <c r="B1551" s="123" t="s">
        <v>686</v>
      </c>
      <c r="C1551" s="22"/>
      <c r="D1551" s="36"/>
      <c r="E1551" s="23"/>
      <c r="F1551" s="255"/>
      <c r="G1551" s="10"/>
    </row>
    <row r="1552" spans="1:7" ht="140.25" x14ac:dyDescent="0.2">
      <c r="A1552" s="274"/>
      <c r="B1552" s="123" t="s">
        <v>687</v>
      </c>
      <c r="C1552" s="22"/>
      <c r="D1552" s="36"/>
      <c r="E1552" s="23"/>
      <c r="F1552" s="255"/>
      <c r="G1552" s="10"/>
    </row>
    <row r="1553" spans="1:7" ht="76.5" x14ac:dyDescent="0.2">
      <c r="A1553" s="274"/>
      <c r="B1553" s="126" t="s">
        <v>270</v>
      </c>
      <c r="C1553" s="22"/>
      <c r="D1553" s="36"/>
      <c r="E1553" s="23"/>
      <c r="F1553" s="255"/>
      <c r="G1553" s="10"/>
    </row>
    <row r="1554" spans="1:7" ht="38.25" x14ac:dyDescent="0.2">
      <c r="A1554" s="274"/>
      <c r="B1554" s="123" t="s">
        <v>1624</v>
      </c>
      <c r="C1554" s="22"/>
      <c r="D1554" s="36"/>
      <c r="E1554" s="23"/>
      <c r="F1554" s="255"/>
      <c r="G1554" s="10"/>
    </row>
    <row r="1555" spans="1:7" ht="51" x14ac:dyDescent="0.2">
      <c r="A1555" s="274"/>
      <c r="B1555" s="166" t="s">
        <v>1625</v>
      </c>
      <c r="C1555" s="22"/>
      <c r="D1555" s="36"/>
      <c r="E1555" s="23"/>
      <c r="F1555" s="255"/>
      <c r="G1555" s="10"/>
    </row>
    <row r="1556" spans="1:7" s="74" customFormat="1" ht="25.5" x14ac:dyDescent="0.2">
      <c r="A1556" s="396"/>
      <c r="B1556" s="386" t="s">
        <v>1626</v>
      </c>
      <c r="C1556" s="387"/>
      <c r="D1556" s="388"/>
      <c r="E1556" s="366"/>
      <c r="F1556" s="373"/>
      <c r="G1556" s="10"/>
    </row>
    <row r="1557" spans="1:7" s="74" customFormat="1" x14ac:dyDescent="0.2">
      <c r="A1557" s="274"/>
      <c r="B1557" s="28"/>
      <c r="C1557" s="22"/>
      <c r="D1557" s="36"/>
      <c r="E1557" s="23"/>
      <c r="F1557" s="255"/>
      <c r="G1557" s="10"/>
    </row>
    <row r="1558" spans="1:7" ht="15" x14ac:dyDescent="0.2">
      <c r="A1558" s="234" t="s">
        <v>189</v>
      </c>
      <c r="B1558" s="35" t="s">
        <v>1164</v>
      </c>
      <c r="C1558" s="17"/>
      <c r="D1558" s="42"/>
      <c r="E1558" s="12"/>
      <c r="F1558" s="255"/>
      <c r="G1558" s="10"/>
    </row>
    <row r="1559" spans="1:7" x14ac:dyDescent="0.2">
      <c r="A1559" s="274"/>
      <c r="B1559" s="12"/>
      <c r="C1559" s="17"/>
      <c r="D1559" s="42"/>
      <c r="E1559" s="12"/>
      <c r="F1559" s="255"/>
      <c r="G1559" s="10"/>
    </row>
    <row r="1560" spans="1:7" ht="89.25" x14ac:dyDescent="0.2">
      <c r="A1560" s="234"/>
      <c r="B1560" s="28" t="s">
        <v>1165</v>
      </c>
      <c r="C1560" s="17"/>
      <c r="D1560" s="42"/>
      <c r="E1560" s="12"/>
      <c r="F1560" s="255"/>
      <c r="G1560" s="10"/>
    </row>
    <row r="1561" spans="1:7" ht="42" customHeight="1" x14ac:dyDescent="0.2">
      <c r="A1561" s="274"/>
      <c r="B1561" s="20" t="s">
        <v>1166</v>
      </c>
      <c r="C1561" s="17"/>
      <c r="D1561" s="42"/>
      <c r="E1561" s="12"/>
      <c r="F1561" s="255"/>
      <c r="G1561" s="10"/>
    </row>
    <row r="1562" spans="1:7" ht="93.75" customHeight="1" x14ac:dyDescent="0.2">
      <c r="A1562" s="274"/>
      <c r="B1562" s="20" t="s">
        <v>1315</v>
      </c>
      <c r="C1562" s="17"/>
      <c r="D1562" s="42"/>
      <c r="E1562" s="12"/>
      <c r="F1562" s="255"/>
      <c r="G1562" s="10"/>
    </row>
    <row r="1563" spans="1:7" ht="38.25" x14ac:dyDescent="0.2">
      <c r="A1563" s="274"/>
      <c r="B1563" s="20" t="s">
        <v>933</v>
      </c>
      <c r="C1563" s="17"/>
      <c r="D1563" s="42"/>
      <c r="E1563" s="12"/>
      <c r="F1563" s="255"/>
      <c r="G1563" s="10"/>
    </row>
    <row r="1564" spans="1:7" ht="38.25" x14ac:dyDescent="0.2">
      <c r="A1564" s="274"/>
      <c r="B1564" s="20" t="s">
        <v>1167</v>
      </c>
      <c r="C1564" s="17"/>
      <c r="D1564" s="42"/>
      <c r="E1564" s="12"/>
      <c r="F1564" s="255"/>
      <c r="G1564" s="10"/>
    </row>
    <row r="1565" spans="1:7" ht="51" x14ac:dyDescent="0.2">
      <c r="A1565" s="274"/>
      <c r="B1565" s="20" t="s">
        <v>1168</v>
      </c>
      <c r="C1565" s="17"/>
      <c r="D1565" s="42"/>
      <c r="E1565" s="12"/>
      <c r="F1565" s="255"/>
      <c r="G1565" s="10"/>
    </row>
    <row r="1566" spans="1:7" ht="51" x14ac:dyDescent="0.2">
      <c r="A1566" s="274"/>
      <c r="B1566" s="28" t="s">
        <v>1169</v>
      </c>
      <c r="C1566" s="17"/>
      <c r="D1566" s="42"/>
      <c r="E1566" s="12"/>
      <c r="F1566" s="255"/>
      <c r="G1566" s="10"/>
    </row>
    <row r="1567" spans="1:7" ht="66.75" customHeight="1" x14ac:dyDescent="0.2">
      <c r="A1567" s="274"/>
      <c r="B1567" s="28" t="s">
        <v>1170</v>
      </c>
      <c r="C1567" s="17"/>
      <c r="D1567" s="42"/>
      <c r="E1567" s="12"/>
      <c r="F1567" s="255"/>
      <c r="G1567" s="10"/>
    </row>
    <row r="1568" spans="1:7" ht="29.25" customHeight="1" x14ac:dyDescent="0.2">
      <c r="A1568" s="274"/>
      <c r="B1568" s="28" t="s">
        <v>1171</v>
      </c>
      <c r="C1568" s="17"/>
      <c r="D1568" s="42"/>
      <c r="E1568" s="12"/>
      <c r="F1568" s="255"/>
      <c r="G1568" s="10"/>
    </row>
    <row r="1569" spans="1:7" ht="25.5" x14ac:dyDescent="0.2">
      <c r="A1569" s="274"/>
      <c r="B1569" s="28" t="s">
        <v>130</v>
      </c>
      <c r="C1569" s="17"/>
      <c r="D1569" s="42"/>
      <c r="E1569" s="12"/>
      <c r="F1569" s="255"/>
      <c r="G1569" s="10"/>
    </row>
    <row r="1570" spans="1:7" x14ac:dyDescent="0.2">
      <c r="A1570" s="274"/>
      <c r="B1570" s="12"/>
      <c r="C1570" s="17"/>
      <c r="D1570" s="42"/>
      <c r="E1570" s="12"/>
      <c r="F1570" s="255"/>
      <c r="G1570" s="10"/>
    </row>
    <row r="1571" spans="1:7" x14ac:dyDescent="0.2">
      <c r="A1571" s="281" t="s">
        <v>1162</v>
      </c>
      <c r="B1571" s="12" t="s">
        <v>131</v>
      </c>
      <c r="C1571" s="22"/>
      <c r="D1571" s="36"/>
      <c r="E1571" s="23"/>
      <c r="F1571" s="255"/>
      <c r="G1571" s="10"/>
    </row>
    <row r="1572" spans="1:7" ht="38.25" x14ac:dyDescent="0.2">
      <c r="A1572" s="281"/>
      <c r="B1572" s="20" t="s">
        <v>1534</v>
      </c>
      <c r="C1572" s="22"/>
      <c r="D1572" s="36"/>
      <c r="E1572" s="23"/>
      <c r="F1572" s="255"/>
      <c r="G1572" s="10"/>
    </row>
    <row r="1573" spans="1:7" x14ac:dyDescent="0.2">
      <c r="A1573" s="397"/>
      <c r="B1573" s="343" t="s">
        <v>530</v>
      </c>
      <c r="C1573" s="363" t="s">
        <v>33</v>
      </c>
      <c r="D1573" s="398">
        <v>16</v>
      </c>
      <c r="E1573" s="343"/>
      <c r="F1573" s="373">
        <f>D1573*E1573</f>
        <v>0</v>
      </c>
      <c r="G1573" s="11"/>
    </row>
    <row r="1574" spans="1:7" x14ac:dyDescent="0.2">
      <c r="A1574" s="281"/>
      <c r="B1574" s="12"/>
      <c r="C1574" s="22"/>
      <c r="D1574" s="36"/>
      <c r="E1574" s="23"/>
      <c r="F1574" s="255"/>
      <c r="G1574" s="10"/>
    </row>
    <row r="1575" spans="1:7" x14ac:dyDescent="0.2">
      <c r="A1575" s="281" t="s">
        <v>1163</v>
      </c>
      <c r="B1575" s="12" t="s">
        <v>190</v>
      </c>
      <c r="C1575" s="22"/>
      <c r="D1575" s="36"/>
      <c r="E1575" s="23"/>
      <c r="F1575" s="255"/>
      <c r="G1575" s="10"/>
    </row>
    <row r="1576" spans="1:7" ht="38.25" x14ac:dyDescent="0.2">
      <c r="A1576" s="281"/>
      <c r="B1576" s="20" t="s">
        <v>1534</v>
      </c>
      <c r="C1576" s="22"/>
      <c r="D1576" s="36"/>
      <c r="E1576" s="23"/>
      <c r="F1576" s="255"/>
      <c r="G1576" s="10"/>
    </row>
    <row r="1577" spans="1:7" x14ac:dyDescent="0.2">
      <c r="A1577" s="281"/>
      <c r="B1577" s="12" t="s">
        <v>530</v>
      </c>
      <c r="C1577" s="17" t="s">
        <v>33</v>
      </c>
      <c r="D1577" s="42">
        <v>18</v>
      </c>
      <c r="E1577" s="12"/>
      <c r="F1577" s="255">
        <f>D1577*E1577</f>
        <v>0</v>
      </c>
      <c r="G1577" s="10"/>
    </row>
    <row r="1578" spans="1:7" x14ac:dyDescent="0.2">
      <c r="A1578" s="281"/>
      <c r="B1578" s="12"/>
      <c r="C1578" s="17"/>
      <c r="D1578" s="42"/>
      <c r="E1578" s="12"/>
      <c r="F1578" s="255"/>
      <c r="G1578" s="10"/>
    </row>
    <row r="1579" spans="1:7" x14ac:dyDescent="0.2">
      <c r="A1579" s="281" t="s">
        <v>1316</v>
      </c>
      <c r="B1579" s="12" t="s">
        <v>1317</v>
      </c>
      <c r="C1579" s="22"/>
      <c r="D1579" s="36"/>
      <c r="E1579" s="23"/>
      <c r="F1579" s="255"/>
      <c r="G1579" s="10"/>
    </row>
    <row r="1580" spans="1:7" ht="38.25" x14ac:dyDescent="0.2">
      <c r="A1580" s="281"/>
      <c r="B1580" s="20" t="s">
        <v>1535</v>
      </c>
      <c r="C1580" s="22"/>
      <c r="D1580" s="36"/>
      <c r="E1580" s="23"/>
      <c r="F1580" s="255"/>
      <c r="G1580" s="10"/>
    </row>
    <row r="1581" spans="1:7" x14ac:dyDescent="0.2">
      <c r="A1581" s="281"/>
      <c r="B1581" s="12" t="s">
        <v>1318</v>
      </c>
      <c r="C1581" s="17" t="s">
        <v>33</v>
      </c>
      <c r="D1581" s="42">
        <v>2</v>
      </c>
      <c r="E1581" s="12"/>
      <c r="F1581" s="255">
        <f>D1581*E1581</f>
        <v>0</v>
      </c>
      <c r="G1581" s="11"/>
    </row>
    <row r="1582" spans="1:7" x14ac:dyDescent="0.2">
      <c r="A1582" s="281"/>
      <c r="B1582" s="12"/>
      <c r="C1582" s="17"/>
      <c r="D1582" s="42"/>
      <c r="E1582" s="12"/>
      <c r="F1582" s="255"/>
      <c r="G1582" s="11"/>
    </row>
    <row r="1583" spans="1:7" x14ac:dyDescent="0.2">
      <c r="A1583" s="281" t="s">
        <v>1319</v>
      </c>
      <c r="B1583" s="12" t="s">
        <v>1320</v>
      </c>
      <c r="C1583" s="22"/>
      <c r="D1583" s="36"/>
      <c r="E1583" s="23"/>
      <c r="F1583" s="255"/>
      <c r="G1583" s="10"/>
    </row>
    <row r="1584" spans="1:7" ht="38.25" x14ac:dyDescent="0.2">
      <c r="A1584" s="281"/>
      <c r="B1584" s="20" t="s">
        <v>1535</v>
      </c>
      <c r="C1584" s="22"/>
      <c r="D1584" s="36"/>
      <c r="E1584" s="23"/>
      <c r="F1584" s="255"/>
      <c r="G1584" s="10"/>
    </row>
    <row r="1585" spans="1:7" x14ac:dyDescent="0.2">
      <c r="A1585" s="281"/>
      <c r="B1585" s="12" t="s">
        <v>1318</v>
      </c>
      <c r="C1585" s="17" t="s">
        <v>33</v>
      </c>
      <c r="D1585" s="42">
        <v>3</v>
      </c>
      <c r="E1585" s="12"/>
      <c r="F1585" s="255">
        <f>D1585*E1585</f>
        <v>0</v>
      </c>
      <c r="G1585" s="10"/>
    </row>
    <row r="1586" spans="1:7" x14ac:dyDescent="0.2">
      <c r="A1586" s="281"/>
      <c r="B1586" s="12"/>
      <c r="C1586" s="22"/>
      <c r="D1586" s="36"/>
      <c r="E1586" s="23"/>
      <c r="F1586" s="255"/>
      <c r="G1586" s="10"/>
    </row>
    <row r="1587" spans="1:7" x14ac:dyDescent="0.2">
      <c r="A1587" s="281" t="s">
        <v>1321</v>
      </c>
      <c r="B1587" s="12" t="s">
        <v>1322</v>
      </c>
      <c r="C1587" s="22"/>
      <c r="D1587" s="36"/>
      <c r="E1587" s="23"/>
      <c r="F1587" s="255"/>
      <c r="G1587" s="10"/>
    </row>
    <row r="1588" spans="1:7" ht="38.25" x14ac:dyDescent="0.2">
      <c r="A1588" s="281"/>
      <c r="B1588" s="20" t="s">
        <v>1535</v>
      </c>
      <c r="C1588" s="22"/>
      <c r="D1588" s="36"/>
      <c r="E1588" s="23"/>
      <c r="F1588" s="255"/>
      <c r="G1588" s="10"/>
    </row>
    <row r="1589" spans="1:7" x14ac:dyDescent="0.2">
      <c r="A1589" s="281"/>
      <c r="B1589" s="12" t="s">
        <v>1323</v>
      </c>
      <c r="C1589" s="17" t="s">
        <v>33</v>
      </c>
      <c r="D1589" s="42">
        <v>2</v>
      </c>
      <c r="E1589" s="12"/>
      <c r="F1589" s="255">
        <f>D1589*E1589</f>
        <v>0</v>
      </c>
      <c r="G1589" s="11"/>
    </row>
    <row r="1590" spans="1:7" x14ac:dyDescent="0.2">
      <c r="A1590" s="281"/>
      <c r="B1590" s="12"/>
      <c r="C1590" s="17"/>
      <c r="D1590" s="42"/>
      <c r="E1590" s="12"/>
      <c r="F1590" s="255"/>
      <c r="G1590" s="11"/>
    </row>
    <row r="1591" spans="1:7" x14ac:dyDescent="0.2">
      <c r="A1591" s="281" t="s">
        <v>1324</v>
      </c>
      <c r="B1591" s="12" t="s">
        <v>1325</v>
      </c>
      <c r="C1591" s="22"/>
      <c r="D1591" s="36"/>
      <c r="E1591" s="23"/>
      <c r="F1591" s="255"/>
      <c r="G1591" s="10"/>
    </row>
    <row r="1592" spans="1:7" ht="38.25" x14ac:dyDescent="0.2">
      <c r="A1592" s="281"/>
      <c r="B1592" s="20" t="s">
        <v>1535</v>
      </c>
      <c r="C1592" s="22"/>
      <c r="D1592" s="36"/>
      <c r="E1592" s="23"/>
      <c r="F1592" s="255"/>
      <c r="G1592" s="10"/>
    </row>
    <row r="1593" spans="1:7" x14ac:dyDescent="0.2">
      <c r="A1593" s="281"/>
      <c r="B1593" s="12" t="s">
        <v>1323</v>
      </c>
      <c r="C1593" s="17" t="s">
        <v>33</v>
      </c>
      <c r="D1593" s="42">
        <v>1</v>
      </c>
      <c r="E1593" s="12"/>
      <c r="F1593" s="255">
        <f>D1593*E1593</f>
        <v>0</v>
      </c>
      <c r="G1593" s="10"/>
    </row>
    <row r="1594" spans="1:7" x14ac:dyDescent="0.2">
      <c r="A1594" s="281"/>
      <c r="B1594" s="12"/>
      <c r="C1594" s="22"/>
      <c r="D1594" s="36"/>
      <c r="E1594" s="23"/>
      <c r="F1594" s="255"/>
      <c r="G1594" s="10"/>
    </row>
    <row r="1595" spans="1:7" x14ac:dyDescent="0.2">
      <c r="A1595" s="281" t="s">
        <v>1326</v>
      </c>
      <c r="B1595" s="12" t="s">
        <v>132</v>
      </c>
      <c r="C1595" s="22"/>
      <c r="D1595" s="36"/>
      <c r="E1595" s="23"/>
      <c r="F1595" s="255"/>
      <c r="G1595" s="10"/>
    </row>
    <row r="1596" spans="1:7" ht="38.25" x14ac:dyDescent="0.2">
      <c r="A1596" s="281"/>
      <c r="B1596" s="20" t="s">
        <v>1536</v>
      </c>
      <c r="C1596" s="22"/>
      <c r="D1596" s="36"/>
      <c r="E1596" s="23"/>
      <c r="F1596" s="255"/>
      <c r="G1596" s="10"/>
    </row>
    <row r="1597" spans="1:7" x14ac:dyDescent="0.2">
      <c r="A1597" s="281"/>
      <c r="B1597" s="12" t="s">
        <v>531</v>
      </c>
      <c r="C1597" s="17" t="s">
        <v>33</v>
      </c>
      <c r="D1597" s="42">
        <v>18</v>
      </c>
      <c r="E1597" s="12"/>
      <c r="F1597" s="255">
        <f>D1597*E1597</f>
        <v>0</v>
      </c>
      <c r="G1597" s="10"/>
    </row>
    <row r="1598" spans="1:7" x14ac:dyDescent="0.2">
      <c r="A1598" s="281"/>
      <c r="B1598" s="12"/>
      <c r="C1598" s="22"/>
      <c r="D1598" s="36"/>
      <c r="E1598" s="23"/>
      <c r="F1598" s="255"/>
      <c r="G1598" s="10"/>
    </row>
    <row r="1599" spans="1:7" x14ac:dyDescent="0.2">
      <c r="A1599" s="281" t="s">
        <v>1327</v>
      </c>
      <c r="B1599" s="12" t="s">
        <v>532</v>
      </c>
      <c r="C1599" s="22"/>
      <c r="D1599" s="36"/>
      <c r="E1599" s="23"/>
      <c r="F1599" s="255"/>
      <c r="G1599" s="10"/>
    </row>
    <row r="1600" spans="1:7" ht="38.25" x14ac:dyDescent="0.2">
      <c r="A1600" s="281"/>
      <c r="B1600" s="20" t="s">
        <v>1536</v>
      </c>
      <c r="C1600" s="22"/>
      <c r="D1600" s="36"/>
      <c r="E1600" s="23"/>
      <c r="F1600" s="255"/>
      <c r="G1600" s="10"/>
    </row>
    <row r="1601" spans="1:7" x14ac:dyDescent="0.2">
      <c r="A1601" s="281"/>
      <c r="B1601" s="12" t="s">
        <v>531</v>
      </c>
      <c r="C1601" s="17" t="s">
        <v>33</v>
      </c>
      <c r="D1601" s="42">
        <v>31</v>
      </c>
      <c r="E1601" s="12"/>
      <c r="F1601" s="255">
        <f>D1601*E1601</f>
        <v>0</v>
      </c>
      <c r="G1601" s="10"/>
    </row>
    <row r="1602" spans="1:7" x14ac:dyDescent="0.2">
      <c r="A1602" s="281"/>
      <c r="B1602" s="12"/>
      <c r="C1602" s="17"/>
      <c r="D1602" s="42"/>
      <c r="E1602" s="12"/>
      <c r="F1602" s="255"/>
      <c r="G1602" s="10"/>
    </row>
    <row r="1603" spans="1:7" x14ac:dyDescent="0.2">
      <c r="A1603" s="281" t="s">
        <v>1328</v>
      </c>
      <c r="B1603" s="12" t="s">
        <v>1537</v>
      </c>
      <c r="C1603" s="22"/>
      <c r="D1603" s="36"/>
      <c r="E1603" s="23"/>
      <c r="F1603" s="255"/>
      <c r="G1603" s="10"/>
    </row>
    <row r="1604" spans="1:7" ht="38.25" x14ac:dyDescent="0.2">
      <c r="A1604" s="281"/>
      <c r="B1604" s="20" t="s">
        <v>1536</v>
      </c>
      <c r="C1604" s="22"/>
      <c r="D1604" s="36"/>
      <c r="E1604" s="23"/>
      <c r="F1604" s="255"/>
      <c r="G1604" s="10"/>
    </row>
    <row r="1605" spans="1:7" x14ac:dyDescent="0.2">
      <c r="A1605" s="397"/>
      <c r="B1605" s="343" t="s">
        <v>1329</v>
      </c>
      <c r="C1605" s="363" t="s">
        <v>33</v>
      </c>
      <c r="D1605" s="398">
        <v>1</v>
      </c>
      <c r="E1605" s="343"/>
      <c r="F1605" s="373">
        <f>D1605*E1605</f>
        <v>0</v>
      </c>
      <c r="G1605" s="10"/>
    </row>
    <row r="1606" spans="1:7" x14ac:dyDescent="0.2">
      <c r="A1606" s="281"/>
      <c r="B1606" s="12"/>
      <c r="C1606" s="17"/>
      <c r="D1606" s="42"/>
      <c r="E1606" s="12"/>
      <c r="F1606" s="255"/>
      <c r="G1606" s="10"/>
    </row>
    <row r="1607" spans="1:7" x14ac:dyDescent="0.2">
      <c r="A1607" s="281" t="s">
        <v>1330</v>
      </c>
      <c r="B1607" s="12" t="s">
        <v>1331</v>
      </c>
      <c r="C1607" s="22"/>
      <c r="D1607" s="36"/>
      <c r="E1607" s="23"/>
      <c r="F1607" s="255"/>
      <c r="G1607" s="10"/>
    </row>
    <row r="1608" spans="1:7" ht="38.25" x14ac:dyDescent="0.2">
      <c r="A1608" s="281"/>
      <c r="B1608" s="20" t="s">
        <v>1538</v>
      </c>
      <c r="C1608" s="22"/>
      <c r="D1608" s="36"/>
      <c r="E1608" s="23"/>
      <c r="F1608" s="255"/>
      <c r="G1608" s="10"/>
    </row>
    <row r="1609" spans="1:7" x14ac:dyDescent="0.2">
      <c r="A1609" s="281"/>
      <c r="B1609" s="12" t="s">
        <v>1332</v>
      </c>
      <c r="C1609" s="17" t="s">
        <v>33</v>
      </c>
      <c r="D1609" s="42">
        <v>1</v>
      </c>
      <c r="E1609" s="12"/>
      <c r="F1609" s="255">
        <f>D1609*E1609</f>
        <v>0</v>
      </c>
      <c r="G1609" s="10"/>
    </row>
    <row r="1610" spans="1:7" x14ac:dyDescent="0.2">
      <c r="A1610" s="281"/>
      <c r="B1610" s="12"/>
      <c r="C1610" s="22"/>
      <c r="D1610" s="36"/>
      <c r="E1610" s="23"/>
      <c r="F1610" s="255"/>
      <c r="G1610" s="10"/>
    </row>
    <row r="1611" spans="1:7" x14ac:dyDescent="0.2">
      <c r="A1611" s="281" t="s">
        <v>1333</v>
      </c>
      <c r="B1611" s="12" t="s">
        <v>1334</v>
      </c>
      <c r="C1611" s="22"/>
      <c r="D1611" s="36"/>
      <c r="E1611" s="23"/>
      <c r="F1611" s="255"/>
      <c r="G1611" s="10"/>
    </row>
    <row r="1612" spans="1:7" ht="38.25" x14ac:dyDescent="0.2">
      <c r="A1612" s="281"/>
      <c r="B1612" s="20" t="s">
        <v>1538</v>
      </c>
      <c r="C1612" s="22"/>
      <c r="D1612" s="36"/>
      <c r="E1612" s="23"/>
      <c r="F1612" s="255"/>
      <c r="G1612" s="10"/>
    </row>
    <row r="1613" spans="1:7" x14ac:dyDescent="0.2">
      <c r="A1613" s="281"/>
      <c r="B1613" s="12" t="s">
        <v>1332</v>
      </c>
      <c r="C1613" s="17" t="s">
        <v>33</v>
      </c>
      <c r="D1613" s="42">
        <v>4</v>
      </c>
      <c r="E1613" s="12"/>
      <c r="F1613" s="255">
        <f>D1613*E1613</f>
        <v>0</v>
      </c>
      <c r="G1613" s="10"/>
    </row>
    <row r="1614" spans="1:7" x14ac:dyDescent="0.2">
      <c r="A1614" s="281"/>
      <c r="B1614" s="12"/>
      <c r="C1614" s="17"/>
      <c r="D1614" s="42"/>
      <c r="E1614" s="12"/>
      <c r="F1614" s="255"/>
      <c r="G1614" s="10"/>
    </row>
    <row r="1615" spans="1:7" x14ac:dyDescent="0.2">
      <c r="A1615" s="281" t="s">
        <v>1335</v>
      </c>
      <c r="B1615" s="12" t="s">
        <v>1336</v>
      </c>
      <c r="C1615" s="22"/>
      <c r="D1615" s="36"/>
      <c r="E1615" s="23"/>
      <c r="F1615" s="255"/>
      <c r="G1615" s="10"/>
    </row>
    <row r="1616" spans="1:7" ht="25.5" x14ac:dyDescent="0.2">
      <c r="A1616" s="281"/>
      <c r="B1616" s="20" t="s">
        <v>1539</v>
      </c>
      <c r="C1616" s="22"/>
      <c r="D1616" s="36"/>
      <c r="E1616" s="23"/>
      <c r="F1616" s="255"/>
      <c r="G1616" s="10"/>
    </row>
    <row r="1617" spans="1:7" x14ac:dyDescent="0.2">
      <c r="A1617" s="281"/>
      <c r="B1617" s="12" t="s">
        <v>1337</v>
      </c>
      <c r="C1617" s="17" t="s">
        <v>33</v>
      </c>
      <c r="D1617" s="42">
        <v>5</v>
      </c>
      <c r="E1617" s="12"/>
      <c r="F1617" s="255">
        <f>D1617*E1617</f>
        <v>0</v>
      </c>
      <c r="G1617" s="10"/>
    </row>
    <row r="1618" spans="1:7" x14ac:dyDescent="0.2">
      <c r="A1618" s="281"/>
      <c r="B1618" s="12"/>
      <c r="C1618" s="22"/>
      <c r="D1618" s="36"/>
      <c r="E1618" s="23"/>
      <c r="F1618" s="255"/>
      <c r="G1618" s="10"/>
    </row>
    <row r="1619" spans="1:7" x14ac:dyDescent="0.2">
      <c r="A1619" s="281" t="s">
        <v>1338</v>
      </c>
      <c r="B1619" s="12" t="s">
        <v>1339</v>
      </c>
      <c r="C1619" s="22"/>
      <c r="D1619" s="36"/>
      <c r="E1619" s="23"/>
      <c r="F1619" s="255"/>
      <c r="G1619" s="10"/>
    </row>
    <row r="1620" spans="1:7" ht="25.5" x14ac:dyDescent="0.2">
      <c r="A1620" s="281"/>
      <c r="B1620" s="20" t="s">
        <v>1539</v>
      </c>
      <c r="C1620" s="22"/>
      <c r="D1620" s="36"/>
      <c r="E1620" s="23"/>
      <c r="F1620" s="255"/>
      <c r="G1620" s="10"/>
    </row>
    <row r="1621" spans="1:7" x14ac:dyDescent="0.2">
      <c r="A1621" s="281"/>
      <c r="B1621" s="12" t="s">
        <v>1337</v>
      </c>
      <c r="C1621" s="17" t="s">
        <v>33</v>
      </c>
      <c r="D1621" s="42">
        <v>5</v>
      </c>
      <c r="E1621" s="12"/>
      <c r="F1621" s="255">
        <f>D1621*E1621</f>
        <v>0</v>
      </c>
      <c r="G1621" s="10"/>
    </row>
    <row r="1622" spans="1:7" x14ac:dyDescent="0.2">
      <c r="A1622" s="281"/>
      <c r="B1622" s="12"/>
      <c r="C1622" s="17"/>
      <c r="D1622" s="42"/>
      <c r="E1622" s="12"/>
      <c r="F1622" s="255"/>
      <c r="G1622" s="10"/>
    </row>
    <row r="1623" spans="1:7" x14ac:dyDescent="0.2">
      <c r="A1623" s="281" t="s">
        <v>1340</v>
      </c>
      <c r="B1623" s="12" t="s">
        <v>1341</v>
      </c>
      <c r="C1623" s="22"/>
      <c r="D1623" s="36"/>
      <c r="E1623" s="23"/>
      <c r="F1623" s="255"/>
      <c r="G1623" s="10"/>
    </row>
    <row r="1624" spans="1:7" ht="38.25" x14ac:dyDescent="0.2">
      <c r="A1624" s="281"/>
      <c r="B1624" s="20" t="s">
        <v>1534</v>
      </c>
      <c r="C1624" s="22"/>
      <c r="D1624" s="36"/>
      <c r="E1624" s="23"/>
      <c r="F1624" s="255"/>
      <c r="G1624" s="10"/>
    </row>
    <row r="1625" spans="1:7" x14ac:dyDescent="0.2">
      <c r="A1625" s="281"/>
      <c r="B1625" s="12" t="s">
        <v>1342</v>
      </c>
      <c r="C1625" s="17" t="s">
        <v>33</v>
      </c>
      <c r="D1625" s="42">
        <v>4</v>
      </c>
      <c r="E1625" s="12"/>
      <c r="F1625" s="255">
        <f>D1625*E1625</f>
        <v>0</v>
      </c>
      <c r="G1625" s="10"/>
    </row>
    <row r="1626" spans="1:7" x14ac:dyDescent="0.2">
      <c r="A1626" s="281"/>
      <c r="B1626" s="12"/>
      <c r="C1626" s="17"/>
      <c r="D1626" s="42"/>
      <c r="E1626" s="12"/>
      <c r="F1626" s="255"/>
      <c r="G1626" s="10"/>
    </row>
    <row r="1627" spans="1:7" x14ac:dyDescent="0.2">
      <c r="A1627" s="281" t="s">
        <v>1343</v>
      </c>
      <c r="B1627" s="12" t="s">
        <v>1344</v>
      </c>
      <c r="C1627" s="22"/>
      <c r="D1627" s="36"/>
      <c r="E1627" s="23"/>
      <c r="F1627" s="255"/>
      <c r="G1627" s="10"/>
    </row>
    <row r="1628" spans="1:7" ht="38.25" x14ac:dyDescent="0.2">
      <c r="A1628" s="281"/>
      <c r="B1628" s="20" t="s">
        <v>1534</v>
      </c>
      <c r="C1628" s="22"/>
      <c r="D1628" s="36"/>
      <c r="E1628" s="23"/>
      <c r="F1628" s="255"/>
      <c r="G1628" s="10"/>
    </row>
    <row r="1629" spans="1:7" x14ac:dyDescent="0.2">
      <c r="A1629" s="281"/>
      <c r="B1629" s="12" t="s">
        <v>1342</v>
      </c>
      <c r="C1629" s="17" t="s">
        <v>33</v>
      </c>
      <c r="D1629" s="42">
        <v>4</v>
      </c>
      <c r="E1629" s="12"/>
      <c r="F1629" s="255">
        <f>D1629*E1629</f>
        <v>0</v>
      </c>
      <c r="G1629" s="11"/>
    </row>
    <row r="1630" spans="1:7" x14ac:dyDescent="0.2">
      <c r="A1630" s="281"/>
      <c r="B1630" s="12"/>
      <c r="C1630" s="17"/>
      <c r="D1630" s="42"/>
      <c r="E1630" s="12"/>
      <c r="F1630" s="255"/>
      <c r="G1630" s="11"/>
    </row>
    <row r="1631" spans="1:7" x14ac:dyDescent="0.2">
      <c r="A1631" s="281" t="s">
        <v>1345</v>
      </c>
      <c r="B1631" s="12" t="s">
        <v>1346</v>
      </c>
      <c r="C1631" s="22"/>
      <c r="D1631" s="36"/>
      <c r="E1631" s="23"/>
      <c r="F1631" s="255"/>
      <c r="G1631" s="10"/>
    </row>
    <row r="1632" spans="1:7" ht="38.25" x14ac:dyDescent="0.2">
      <c r="A1632" s="281"/>
      <c r="B1632" s="20" t="s">
        <v>1536</v>
      </c>
      <c r="C1632" s="22"/>
      <c r="D1632" s="36"/>
      <c r="E1632" s="23"/>
      <c r="F1632" s="255"/>
      <c r="G1632" s="10"/>
    </row>
    <row r="1633" spans="1:7" x14ac:dyDescent="0.2">
      <c r="A1633" s="281"/>
      <c r="B1633" s="12" t="s">
        <v>1347</v>
      </c>
      <c r="C1633" s="17" t="s">
        <v>33</v>
      </c>
      <c r="D1633" s="42">
        <v>5</v>
      </c>
      <c r="E1633" s="12"/>
      <c r="F1633" s="255">
        <f>D1633*E1633</f>
        <v>0</v>
      </c>
      <c r="G1633" s="10"/>
    </row>
    <row r="1634" spans="1:7" x14ac:dyDescent="0.2">
      <c r="A1634" s="281"/>
      <c r="B1634" s="12"/>
      <c r="C1634" s="22"/>
      <c r="D1634" s="36"/>
      <c r="E1634" s="23"/>
      <c r="F1634" s="255"/>
      <c r="G1634" s="10"/>
    </row>
    <row r="1635" spans="1:7" x14ac:dyDescent="0.2">
      <c r="A1635" s="281" t="s">
        <v>1348</v>
      </c>
      <c r="B1635" s="12" t="s">
        <v>1349</v>
      </c>
      <c r="C1635" s="22"/>
      <c r="D1635" s="36"/>
      <c r="E1635" s="23"/>
      <c r="F1635" s="255"/>
      <c r="G1635" s="10"/>
    </row>
    <row r="1636" spans="1:7" ht="38.25" x14ac:dyDescent="0.2">
      <c r="A1636" s="274"/>
      <c r="B1636" s="20" t="s">
        <v>1536</v>
      </c>
      <c r="C1636" s="22"/>
      <c r="D1636" s="36"/>
      <c r="E1636" s="23"/>
      <c r="F1636" s="255"/>
      <c r="G1636" s="10"/>
    </row>
    <row r="1637" spans="1:7" x14ac:dyDescent="0.2">
      <c r="A1637" s="396"/>
      <c r="B1637" s="343" t="s">
        <v>1347</v>
      </c>
      <c r="C1637" s="363" t="s">
        <v>33</v>
      </c>
      <c r="D1637" s="398">
        <v>1</v>
      </c>
      <c r="E1637" s="343"/>
      <c r="F1637" s="373">
        <f>D1637*E1637</f>
        <v>0</v>
      </c>
      <c r="G1637" s="10"/>
    </row>
    <row r="1638" spans="1:7" x14ac:dyDescent="0.2">
      <c r="A1638" s="274"/>
      <c r="B1638" s="12"/>
      <c r="C1638" s="17"/>
      <c r="D1638" s="42"/>
      <c r="E1638" s="12"/>
      <c r="F1638" s="255"/>
      <c r="G1638" s="10"/>
    </row>
    <row r="1639" spans="1:7" ht="15" x14ac:dyDescent="0.2">
      <c r="A1639" s="234" t="s">
        <v>134</v>
      </c>
      <c r="B1639" s="35" t="s">
        <v>1161</v>
      </c>
      <c r="C1639" s="22"/>
      <c r="D1639" s="36"/>
      <c r="E1639" s="23"/>
      <c r="F1639" s="255"/>
      <c r="G1639" s="10"/>
    </row>
    <row r="1640" spans="1:7" x14ac:dyDescent="0.2">
      <c r="A1640" s="274"/>
      <c r="B1640" s="12"/>
      <c r="C1640" s="22"/>
      <c r="D1640" s="36"/>
      <c r="E1640" s="23"/>
      <c r="F1640" s="255"/>
      <c r="G1640" s="10"/>
    </row>
    <row r="1641" spans="1:7" ht="38.25" x14ac:dyDescent="0.2">
      <c r="A1641" s="234"/>
      <c r="B1641" s="28" t="s">
        <v>1350</v>
      </c>
      <c r="C1641" s="22"/>
      <c r="D1641" s="36"/>
      <c r="E1641" s="23"/>
      <c r="F1641" s="255"/>
      <c r="G1641" s="10"/>
    </row>
    <row r="1642" spans="1:7" ht="76.5" x14ac:dyDescent="0.2">
      <c r="A1642" s="234"/>
      <c r="B1642" s="28" t="s">
        <v>1177</v>
      </c>
      <c r="C1642" s="22"/>
      <c r="D1642" s="36"/>
      <c r="E1642" s="23"/>
      <c r="F1642" s="255"/>
      <c r="G1642" s="10"/>
    </row>
    <row r="1643" spans="1:7" ht="43.5" customHeight="1" x14ac:dyDescent="0.2">
      <c r="A1643" s="274"/>
      <c r="B1643" s="20" t="s">
        <v>529</v>
      </c>
      <c r="C1643" s="22"/>
      <c r="D1643" s="36"/>
      <c r="E1643" s="23"/>
      <c r="F1643" s="255"/>
      <c r="G1643" s="10"/>
    </row>
    <row r="1644" spans="1:7" ht="93" customHeight="1" x14ac:dyDescent="0.2">
      <c r="A1644" s="274"/>
      <c r="B1644" s="20" t="s">
        <v>1351</v>
      </c>
      <c r="C1644" s="22"/>
      <c r="D1644" s="36"/>
      <c r="E1644" s="23"/>
      <c r="F1644" s="255"/>
      <c r="G1644" s="10"/>
    </row>
    <row r="1645" spans="1:7" ht="51" x14ac:dyDescent="0.2">
      <c r="A1645" s="274"/>
      <c r="B1645" s="20" t="s">
        <v>1178</v>
      </c>
      <c r="C1645" s="22"/>
      <c r="D1645" s="36"/>
      <c r="E1645" s="23"/>
      <c r="F1645" s="255"/>
      <c r="G1645" s="10"/>
    </row>
    <row r="1646" spans="1:7" ht="51" x14ac:dyDescent="0.2">
      <c r="A1646" s="274"/>
      <c r="B1646" s="20" t="s">
        <v>1179</v>
      </c>
      <c r="C1646" s="22"/>
      <c r="D1646" s="36"/>
      <c r="E1646" s="23"/>
      <c r="F1646" s="255"/>
      <c r="G1646" s="10"/>
    </row>
    <row r="1647" spans="1:7" ht="51" x14ac:dyDescent="0.2">
      <c r="A1647" s="274"/>
      <c r="B1647" s="28" t="s">
        <v>1172</v>
      </c>
      <c r="C1647" s="22"/>
      <c r="D1647" s="36"/>
      <c r="E1647" s="23"/>
      <c r="F1647" s="255"/>
      <c r="G1647" s="10"/>
    </row>
    <row r="1648" spans="1:7" ht="63.75" x14ac:dyDescent="0.2">
      <c r="A1648" s="274"/>
      <c r="B1648" s="28" t="s">
        <v>1173</v>
      </c>
      <c r="C1648" s="22"/>
      <c r="D1648" s="36"/>
      <c r="E1648" s="23"/>
      <c r="F1648" s="255"/>
      <c r="G1648" s="10"/>
    </row>
    <row r="1649" spans="1:7" ht="30" customHeight="1" x14ac:dyDescent="0.2">
      <c r="A1649" s="274"/>
      <c r="B1649" s="28" t="s">
        <v>1171</v>
      </c>
      <c r="C1649" s="22"/>
      <c r="D1649" s="36"/>
      <c r="E1649" s="23"/>
      <c r="F1649" s="255"/>
      <c r="G1649" s="10"/>
    </row>
    <row r="1650" spans="1:7" ht="25.5" x14ac:dyDescent="0.2">
      <c r="A1650" s="274"/>
      <c r="B1650" s="28" t="s">
        <v>130</v>
      </c>
      <c r="C1650" s="22"/>
      <c r="D1650" s="36"/>
      <c r="E1650" s="23"/>
      <c r="F1650" s="255"/>
      <c r="G1650" s="10"/>
    </row>
    <row r="1651" spans="1:7" x14ac:dyDescent="0.2">
      <c r="A1651" s="274"/>
      <c r="B1651" s="12"/>
      <c r="C1651" s="22"/>
      <c r="D1651" s="36"/>
      <c r="E1651" s="23"/>
      <c r="F1651" s="255"/>
      <c r="G1651" s="10"/>
    </row>
    <row r="1652" spans="1:7" x14ac:dyDescent="0.2">
      <c r="A1652" s="281" t="s">
        <v>1160</v>
      </c>
      <c r="B1652" s="12" t="s">
        <v>1352</v>
      </c>
      <c r="C1652" s="22"/>
      <c r="D1652" s="36"/>
      <c r="E1652" s="23"/>
      <c r="F1652" s="255"/>
      <c r="G1652" s="10"/>
    </row>
    <row r="1653" spans="1:7" ht="38.25" x14ac:dyDescent="0.2">
      <c r="A1653" s="281"/>
      <c r="B1653" s="20" t="s">
        <v>1540</v>
      </c>
      <c r="C1653" s="22"/>
      <c r="D1653" s="36"/>
      <c r="E1653" s="23"/>
      <c r="F1653" s="255"/>
      <c r="G1653" s="10"/>
    </row>
    <row r="1654" spans="1:7" x14ac:dyDescent="0.2">
      <c r="A1654" s="397"/>
      <c r="B1654" s="343" t="s">
        <v>1353</v>
      </c>
      <c r="C1654" s="363" t="s">
        <v>33</v>
      </c>
      <c r="D1654" s="398">
        <v>10</v>
      </c>
      <c r="E1654" s="343"/>
      <c r="F1654" s="373">
        <f>D1654*E1654</f>
        <v>0</v>
      </c>
      <c r="G1654" s="10"/>
    </row>
    <row r="1655" spans="1:7" x14ac:dyDescent="0.2">
      <c r="A1655" s="281"/>
      <c r="B1655" s="12"/>
      <c r="C1655" s="22"/>
      <c r="D1655" s="36"/>
      <c r="E1655" s="23"/>
      <c r="F1655" s="255"/>
      <c r="G1655" s="10"/>
    </row>
    <row r="1656" spans="1:7" x14ac:dyDescent="0.2">
      <c r="A1656" s="281" t="s">
        <v>1174</v>
      </c>
      <c r="B1656" s="12" t="s">
        <v>1354</v>
      </c>
      <c r="C1656" s="22"/>
      <c r="D1656" s="36"/>
      <c r="E1656" s="23"/>
      <c r="F1656" s="255"/>
      <c r="G1656" s="10"/>
    </row>
    <row r="1657" spans="1:7" ht="38.25" x14ac:dyDescent="0.2">
      <c r="A1657" s="274"/>
      <c r="B1657" s="20" t="s">
        <v>1540</v>
      </c>
      <c r="C1657" s="22"/>
      <c r="D1657" s="36"/>
      <c r="E1657" s="23"/>
      <c r="F1657" s="255"/>
      <c r="G1657" s="10"/>
    </row>
    <row r="1658" spans="1:7" x14ac:dyDescent="0.2">
      <c r="A1658" s="274"/>
      <c r="B1658" s="12" t="s">
        <v>1355</v>
      </c>
      <c r="C1658" s="17" t="s">
        <v>33</v>
      </c>
      <c r="D1658" s="42">
        <v>19</v>
      </c>
      <c r="E1658" s="12"/>
      <c r="F1658" s="255">
        <f>D1658*E1658</f>
        <v>0</v>
      </c>
      <c r="G1658" s="10"/>
    </row>
    <row r="1659" spans="1:7" x14ac:dyDescent="0.2">
      <c r="A1659" s="274"/>
      <c r="B1659" s="12"/>
      <c r="C1659" s="17"/>
      <c r="D1659" s="42"/>
      <c r="E1659" s="12"/>
      <c r="F1659" s="255"/>
      <c r="G1659" s="10"/>
    </row>
    <row r="1660" spans="1:7" x14ac:dyDescent="0.2">
      <c r="A1660" s="281" t="s">
        <v>1175</v>
      </c>
      <c r="B1660" s="12" t="s">
        <v>1356</v>
      </c>
      <c r="C1660" s="22"/>
      <c r="D1660" s="36"/>
      <c r="E1660" s="23"/>
      <c r="F1660" s="255"/>
      <c r="G1660" s="10"/>
    </row>
    <row r="1661" spans="1:7" ht="38.25" x14ac:dyDescent="0.2">
      <c r="A1661" s="281"/>
      <c r="B1661" s="20" t="s">
        <v>1541</v>
      </c>
      <c r="C1661" s="22"/>
      <c r="D1661" s="36"/>
      <c r="E1661" s="23"/>
      <c r="F1661" s="255"/>
      <c r="G1661" s="10"/>
    </row>
    <row r="1662" spans="1:7" x14ac:dyDescent="0.2">
      <c r="A1662" s="281"/>
      <c r="B1662" s="12" t="s">
        <v>1357</v>
      </c>
      <c r="C1662" s="17" t="s">
        <v>33</v>
      </c>
      <c r="D1662" s="42">
        <v>12</v>
      </c>
      <c r="E1662" s="12"/>
      <c r="F1662" s="255">
        <f>D1662*E1662</f>
        <v>0</v>
      </c>
      <c r="G1662" s="10"/>
    </row>
    <row r="1663" spans="1:7" x14ac:dyDescent="0.2">
      <c r="A1663" s="281"/>
      <c r="B1663" s="12"/>
      <c r="C1663" s="22"/>
      <c r="D1663" s="36"/>
      <c r="E1663" s="23"/>
      <c r="F1663" s="255"/>
      <c r="G1663" s="10"/>
    </row>
    <row r="1664" spans="1:7" x14ac:dyDescent="0.2">
      <c r="A1664" s="281" t="s">
        <v>1176</v>
      </c>
      <c r="B1664" s="12" t="s">
        <v>1358</v>
      </c>
      <c r="C1664" s="22"/>
      <c r="D1664" s="36"/>
      <c r="E1664" s="23"/>
      <c r="F1664" s="255"/>
      <c r="G1664" s="10"/>
    </row>
    <row r="1665" spans="1:7" ht="38.25" x14ac:dyDescent="0.2">
      <c r="A1665" s="274"/>
      <c r="B1665" s="20" t="s">
        <v>1541</v>
      </c>
      <c r="C1665" s="22"/>
      <c r="D1665" s="36"/>
      <c r="E1665" s="23"/>
      <c r="F1665" s="255"/>
      <c r="G1665" s="10"/>
    </row>
    <row r="1666" spans="1:7" x14ac:dyDescent="0.2">
      <c r="A1666" s="274"/>
      <c r="B1666" s="12" t="s">
        <v>1357</v>
      </c>
      <c r="C1666" s="17" t="s">
        <v>33</v>
      </c>
      <c r="D1666" s="42">
        <v>4</v>
      </c>
      <c r="E1666" s="12"/>
      <c r="F1666" s="255">
        <f>D1666*E1666</f>
        <v>0</v>
      </c>
      <c r="G1666" s="10"/>
    </row>
    <row r="1667" spans="1:7" x14ac:dyDescent="0.2">
      <c r="A1667" s="274"/>
      <c r="B1667" s="12"/>
      <c r="C1667" s="17"/>
      <c r="D1667" s="42"/>
      <c r="E1667" s="12"/>
      <c r="F1667" s="255"/>
      <c r="G1667" s="10"/>
    </row>
    <row r="1668" spans="1:7" x14ac:dyDescent="0.2">
      <c r="A1668" s="281" t="s">
        <v>1359</v>
      </c>
      <c r="B1668" s="12" t="s">
        <v>1360</v>
      </c>
      <c r="C1668" s="22"/>
      <c r="D1668" s="36"/>
      <c r="E1668" s="23"/>
      <c r="F1668" s="255"/>
      <c r="G1668" s="10"/>
    </row>
    <row r="1669" spans="1:7" ht="38.25" x14ac:dyDescent="0.2">
      <c r="A1669" s="281"/>
      <c r="B1669" s="20" t="s">
        <v>1542</v>
      </c>
      <c r="C1669" s="22"/>
      <c r="D1669" s="36"/>
      <c r="E1669" s="23"/>
      <c r="F1669" s="255"/>
      <c r="G1669" s="10"/>
    </row>
    <row r="1670" spans="1:7" x14ac:dyDescent="0.2">
      <c r="A1670" s="281"/>
      <c r="B1670" s="12" t="s">
        <v>1361</v>
      </c>
      <c r="C1670" s="17" t="s">
        <v>33</v>
      </c>
      <c r="D1670" s="42">
        <v>4</v>
      </c>
      <c r="E1670" s="12"/>
      <c r="F1670" s="255">
        <f>D1670*E1670</f>
        <v>0</v>
      </c>
      <c r="G1670" s="10"/>
    </row>
    <row r="1671" spans="1:7" x14ac:dyDescent="0.2">
      <c r="A1671" s="281"/>
      <c r="B1671" s="12"/>
      <c r="C1671" s="17"/>
      <c r="D1671" s="42"/>
      <c r="E1671" s="12"/>
      <c r="F1671" s="255"/>
      <c r="G1671" s="10"/>
    </row>
    <row r="1672" spans="1:7" x14ac:dyDescent="0.2">
      <c r="A1672" s="281" t="s">
        <v>1362</v>
      </c>
      <c r="B1672" s="12" t="s">
        <v>1363</v>
      </c>
      <c r="C1672" s="22"/>
      <c r="D1672" s="36"/>
      <c r="E1672" s="23"/>
      <c r="F1672" s="255"/>
      <c r="G1672" s="10"/>
    </row>
    <row r="1673" spans="1:7" ht="38.25" x14ac:dyDescent="0.2">
      <c r="A1673" s="281"/>
      <c r="B1673" s="20" t="s">
        <v>1543</v>
      </c>
      <c r="C1673" s="22"/>
      <c r="D1673" s="36"/>
      <c r="E1673" s="23"/>
      <c r="F1673" s="255"/>
      <c r="G1673" s="10"/>
    </row>
    <row r="1674" spans="1:7" x14ac:dyDescent="0.2">
      <c r="A1674" s="281"/>
      <c r="B1674" s="12" t="s">
        <v>1364</v>
      </c>
      <c r="C1674" s="17" t="s">
        <v>33</v>
      </c>
      <c r="D1674" s="42">
        <v>1</v>
      </c>
      <c r="E1674" s="12"/>
      <c r="F1674" s="255">
        <f>D1674*E1674</f>
        <v>0</v>
      </c>
      <c r="G1674" s="10"/>
    </row>
    <row r="1675" spans="1:7" x14ac:dyDescent="0.2">
      <c r="A1675" s="281"/>
      <c r="B1675" s="12"/>
      <c r="C1675" s="22"/>
      <c r="D1675" s="36"/>
      <c r="E1675" s="23"/>
      <c r="F1675" s="255"/>
      <c r="G1675" s="10"/>
    </row>
    <row r="1676" spans="1:7" x14ac:dyDescent="0.2">
      <c r="A1676" s="281" t="s">
        <v>1365</v>
      </c>
      <c r="B1676" s="12" t="s">
        <v>1366</v>
      </c>
      <c r="C1676" s="22"/>
      <c r="D1676" s="36"/>
      <c r="E1676" s="23"/>
      <c r="F1676" s="255"/>
      <c r="G1676" s="10"/>
    </row>
    <row r="1677" spans="1:7" ht="38.25" x14ac:dyDescent="0.2">
      <c r="A1677" s="274"/>
      <c r="B1677" s="20" t="s">
        <v>1543</v>
      </c>
      <c r="C1677" s="22"/>
      <c r="D1677" s="36"/>
      <c r="E1677" s="23"/>
      <c r="F1677" s="255"/>
      <c r="G1677" s="10"/>
    </row>
    <row r="1678" spans="1:7" x14ac:dyDescent="0.2">
      <c r="A1678" s="274"/>
      <c r="B1678" s="12" t="s">
        <v>1364</v>
      </c>
      <c r="C1678" s="17" t="s">
        <v>33</v>
      </c>
      <c r="D1678" s="42">
        <v>1</v>
      </c>
      <c r="E1678" s="12"/>
      <c r="F1678" s="255">
        <f>D1678*E1678</f>
        <v>0</v>
      </c>
      <c r="G1678" s="10"/>
    </row>
    <row r="1679" spans="1:7" x14ac:dyDescent="0.2">
      <c r="A1679" s="274"/>
      <c r="B1679" s="12"/>
      <c r="C1679" s="17"/>
      <c r="D1679" s="42"/>
      <c r="E1679" s="12"/>
      <c r="F1679" s="255"/>
      <c r="G1679" s="10"/>
    </row>
    <row r="1680" spans="1:7" x14ac:dyDescent="0.2">
      <c r="A1680" s="281" t="s">
        <v>1367</v>
      </c>
      <c r="B1680" s="12" t="s">
        <v>1368</v>
      </c>
      <c r="C1680" s="22"/>
      <c r="D1680" s="36"/>
      <c r="E1680" s="23"/>
      <c r="F1680" s="255"/>
      <c r="G1680" s="10"/>
    </row>
    <row r="1681" spans="1:7" ht="38.25" x14ac:dyDescent="0.2">
      <c r="A1681" s="281"/>
      <c r="B1681" s="20" t="s">
        <v>1544</v>
      </c>
      <c r="C1681" s="22"/>
      <c r="D1681" s="36"/>
      <c r="E1681" s="23"/>
      <c r="F1681" s="255"/>
      <c r="G1681" s="10"/>
    </row>
    <row r="1682" spans="1:7" x14ac:dyDescent="0.2">
      <c r="A1682" s="281"/>
      <c r="B1682" s="12" t="s">
        <v>1369</v>
      </c>
      <c r="C1682" s="17" t="s">
        <v>33</v>
      </c>
      <c r="D1682" s="42">
        <v>1</v>
      </c>
      <c r="E1682" s="12"/>
      <c r="F1682" s="255">
        <f>D1682*E1682</f>
        <v>0</v>
      </c>
      <c r="G1682" s="10"/>
    </row>
    <row r="1683" spans="1:7" x14ac:dyDescent="0.2">
      <c r="A1683" s="281"/>
      <c r="B1683" s="12"/>
      <c r="C1683" s="17"/>
      <c r="D1683" s="42"/>
      <c r="E1683" s="12"/>
      <c r="F1683" s="255"/>
      <c r="G1683" s="10"/>
    </row>
    <row r="1684" spans="1:7" x14ac:dyDescent="0.2">
      <c r="A1684" s="281" t="s">
        <v>1370</v>
      </c>
      <c r="B1684" s="12" t="s">
        <v>1371</v>
      </c>
      <c r="C1684" s="22"/>
      <c r="D1684" s="36"/>
      <c r="E1684" s="23"/>
      <c r="F1684" s="255"/>
      <c r="G1684" s="10"/>
    </row>
    <row r="1685" spans="1:7" ht="38.25" x14ac:dyDescent="0.2">
      <c r="A1685" s="281"/>
      <c r="B1685" s="20" t="s">
        <v>1544</v>
      </c>
      <c r="C1685" s="22"/>
      <c r="D1685" s="36"/>
      <c r="E1685" s="23"/>
      <c r="F1685" s="255"/>
      <c r="G1685" s="10"/>
    </row>
    <row r="1686" spans="1:7" x14ac:dyDescent="0.2">
      <c r="A1686" s="397"/>
      <c r="B1686" s="343" t="s">
        <v>1372</v>
      </c>
      <c r="C1686" s="363" t="s">
        <v>33</v>
      </c>
      <c r="D1686" s="398">
        <v>1</v>
      </c>
      <c r="E1686" s="343"/>
      <c r="F1686" s="373">
        <f>D1686*E1686</f>
        <v>0</v>
      </c>
      <c r="G1686" s="10"/>
    </row>
    <row r="1687" spans="1:7" x14ac:dyDescent="0.2">
      <c r="A1687" s="281"/>
      <c r="B1687" s="12"/>
      <c r="C1687" s="22"/>
      <c r="D1687" s="36"/>
      <c r="E1687" s="23"/>
      <c r="F1687" s="255"/>
      <c r="G1687" s="10"/>
    </row>
    <row r="1688" spans="1:7" x14ac:dyDescent="0.2">
      <c r="A1688" s="281" t="s">
        <v>1373</v>
      </c>
      <c r="B1688" s="12" t="s">
        <v>1374</v>
      </c>
      <c r="C1688" s="22"/>
      <c r="D1688" s="36"/>
      <c r="E1688" s="23"/>
      <c r="F1688" s="255"/>
      <c r="G1688" s="10"/>
    </row>
    <row r="1689" spans="1:7" ht="38.25" x14ac:dyDescent="0.2">
      <c r="A1689" s="274"/>
      <c r="B1689" s="20" t="s">
        <v>1544</v>
      </c>
      <c r="C1689" s="22"/>
      <c r="D1689" s="36"/>
      <c r="E1689" s="23"/>
      <c r="F1689" s="255"/>
      <c r="G1689" s="10"/>
    </row>
    <row r="1690" spans="1:7" x14ac:dyDescent="0.2">
      <c r="A1690" s="274"/>
      <c r="B1690" s="12" t="s">
        <v>1372</v>
      </c>
      <c r="C1690" s="17" t="s">
        <v>33</v>
      </c>
      <c r="D1690" s="42">
        <v>1</v>
      </c>
      <c r="E1690" s="12"/>
      <c r="F1690" s="255">
        <f>D1690*E1690</f>
        <v>0</v>
      </c>
      <c r="G1690" s="10"/>
    </row>
    <row r="1691" spans="1:7" x14ac:dyDescent="0.2">
      <c r="A1691" s="274"/>
      <c r="B1691" s="12"/>
      <c r="C1691" s="17"/>
      <c r="D1691" s="42"/>
      <c r="E1691" s="12"/>
      <c r="F1691" s="255"/>
      <c r="G1691" s="10"/>
    </row>
    <row r="1692" spans="1:7" x14ac:dyDescent="0.2">
      <c r="A1692" s="281" t="s">
        <v>1375</v>
      </c>
      <c r="B1692" s="12" t="s">
        <v>1376</v>
      </c>
      <c r="C1692" s="22"/>
      <c r="D1692" s="36"/>
      <c r="E1692" s="23"/>
      <c r="F1692" s="255"/>
      <c r="G1692" s="10"/>
    </row>
    <row r="1693" spans="1:7" ht="38.25" x14ac:dyDescent="0.2">
      <c r="A1693" s="281"/>
      <c r="B1693" s="20" t="s">
        <v>1545</v>
      </c>
      <c r="C1693" s="22"/>
      <c r="D1693" s="36"/>
      <c r="E1693" s="23"/>
      <c r="F1693" s="255"/>
      <c r="G1693" s="10"/>
    </row>
    <row r="1694" spans="1:7" x14ac:dyDescent="0.2">
      <c r="A1694" s="281"/>
      <c r="B1694" s="12" t="s">
        <v>1377</v>
      </c>
      <c r="C1694" s="17" t="s">
        <v>33</v>
      </c>
      <c r="D1694" s="42">
        <v>1</v>
      </c>
      <c r="E1694" s="12"/>
      <c r="F1694" s="255">
        <f>D1694*E1694</f>
        <v>0</v>
      </c>
      <c r="G1694" s="10"/>
    </row>
    <row r="1695" spans="1:7" x14ac:dyDescent="0.2">
      <c r="A1695" s="281"/>
      <c r="B1695" s="12"/>
      <c r="C1695" s="22"/>
      <c r="D1695" s="36"/>
      <c r="E1695" s="23"/>
      <c r="F1695" s="255"/>
      <c r="G1695" s="10"/>
    </row>
    <row r="1696" spans="1:7" x14ac:dyDescent="0.2">
      <c r="A1696" s="281" t="s">
        <v>1378</v>
      </c>
      <c r="B1696" s="12" t="s">
        <v>1379</v>
      </c>
      <c r="C1696" s="22"/>
      <c r="D1696" s="36"/>
      <c r="E1696" s="23"/>
      <c r="F1696" s="255"/>
      <c r="G1696" s="10"/>
    </row>
    <row r="1697" spans="1:9" ht="38.25" x14ac:dyDescent="0.2">
      <c r="A1697" s="274"/>
      <c r="B1697" s="20" t="s">
        <v>1545</v>
      </c>
      <c r="C1697" s="22"/>
      <c r="D1697" s="36"/>
      <c r="E1697" s="23"/>
      <c r="F1697" s="255"/>
      <c r="G1697" s="10"/>
    </row>
    <row r="1698" spans="1:9" x14ac:dyDescent="0.2">
      <c r="A1698" s="274"/>
      <c r="B1698" s="12" t="s">
        <v>1377</v>
      </c>
      <c r="C1698" s="17" t="s">
        <v>33</v>
      </c>
      <c r="D1698" s="42">
        <v>1</v>
      </c>
      <c r="E1698" s="12"/>
      <c r="F1698" s="255">
        <f>D1698*E1698</f>
        <v>0</v>
      </c>
      <c r="G1698" s="10"/>
    </row>
    <row r="1699" spans="1:9" ht="13.5" thickBot="1" x14ac:dyDescent="0.25">
      <c r="A1699" s="281"/>
      <c r="B1699" s="12"/>
      <c r="C1699" s="22"/>
      <c r="D1699" s="36"/>
      <c r="E1699" s="23"/>
      <c r="F1699" s="255"/>
      <c r="G1699" s="10"/>
    </row>
    <row r="1700" spans="1:9" s="9" customFormat="1" ht="15.75" thickBot="1" x14ac:dyDescent="0.25">
      <c r="A1700" s="261" t="str">
        <f>A1544</f>
        <v>9.</v>
      </c>
      <c r="B1700" s="49" t="s">
        <v>127</v>
      </c>
      <c r="C1700" s="50"/>
      <c r="D1700" s="324"/>
      <c r="E1700" s="146"/>
      <c r="F1700" s="244">
        <f>SUM(F1545:F1699)</f>
        <v>0</v>
      </c>
      <c r="G1700" s="198"/>
      <c r="H1700" s="68"/>
      <c r="I1700" s="10"/>
    </row>
    <row r="1701" spans="1:9" s="9" customFormat="1" ht="15.75" thickBot="1" x14ac:dyDescent="0.25">
      <c r="A1701" s="262" t="s">
        <v>5</v>
      </c>
      <c r="B1701" s="57" t="s">
        <v>46</v>
      </c>
      <c r="C1701" s="58"/>
      <c r="D1701" s="325"/>
      <c r="E1701" s="147"/>
      <c r="F1701" s="263"/>
      <c r="G1701" s="198"/>
      <c r="H1701" s="68"/>
      <c r="I1701" s="10"/>
    </row>
    <row r="1702" spans="1:9" s="9" customFormat="1" x14ac:dyDescent="0.2">
      <c r="A1702" s="234"/>
      <c r="B1702" s="25"/>
      <c r="C1702" s="25"/>
      <c r="D1702" s="65"/>
      <c r="E1702" s="23"/>
      <c r="F1702" s="235"/>
      <c r="G1702" s="74"/>
      <c r="H1702" s="68"/>
    </row>
    <row r="1703" spans="1:9" s="9" customFormat="1" ht="15" x14ac:dyDescent="0.2">
      <c r="A1703" s="234"/>
      <c r="B1703" s="35" t="s">
        <v>62</v>
      </c>
      <c r="C1703" s="25"/>
      <c r="D1703" s="65"/>
      <c r="E1703" s="23"/>
      <c r="F1703" s="235"/>
      <c r="G1703" s="74"/>
      <c r="H1703" s="68"/>
    </row>
    <row r="1704" spans="1:9" s="9" customFormat="1" ht="102" x14ac:dyDescent="0.2">
      <c r="A1704" s="234"/>
      <c r="B1704" s="168" t="s">
        <v>681</v>
      </c>
      <c r="C1704" s="25"/>
      <c r="D1704" s="65"/>
      <c r="E1704" s="23"/>
      <c r="F1704" s="235"/>
      <c r="G1704" s="74"/>
      <c r="H1704" s="68"/>
    </row>
    <row r="1705" spans="1:9" s="9" customFormat="1" ht="57" customHeight="1" x14ac:dyDescent="0.2">
      <c r="A1705" s="234"/>
      <c r="B1705" s="168" t="s">
        <v>258</v>
      </c>
      <c r="C1705" s="25"/>
      <c r="D1705" s="65"/>
      <c r="E1705" s="23"/>
      <c r="F1705" s="235"/>
      <c r="G1705" s="74"/>
      <c r="H1705" s="68"/>
    </row>
    <row r="1706" spans="1:9" s="9" customFormat="1" ht="25.5" x14ac:dyDescent="0.2">
      <c r="A1706" s="234"/>
      <c r="B1706" s="168" t="s">
        <v>249</v>
      </c>
      <c r="C1706" s="25"/>
      <c r="D1706" s="65"/>
      <c r="E1706" s="23"/>
      <c r="F1706" s="235"/>
      <c r="G1706" s="74"/>
      <c r="H1706" s="68"/>
    </row>
    <row r="1707" spans="1:9" s="9" customFormat="1" ht="63.75" x14ac:dyDescent="0.2">
      <c r="A1707" s="234"/>
      <c r="B1707" s="168" t="s">
        <v>250</v>
      </c>
      <c r="C1707" s="25"/>
      <c r="D1707" s="65"/>
      <c r="E1707" s="23"/>
      <c r="F1707" s="235"/>
      <c r="G1707" s="74"/>
      <c r="H1707" s="68"/>
    </row>
    <row r="1708" spans="1:9" s="9" customFormat="1" ht="25.5" x14ac:dyDescent="0.2">
      <c r="A1708" s="234"/>
      <c r="B1708" s="168" t="s">
        <v>251</v>
      </c>
      <c r="C1708" s="25"/>
      <c r="D1708" s="65"/>
      <c r="E1708" s="23"/>
      <c r="F1708" s="235"/>
      <c r="G1708" s="74"/>
      <c r="H1708" s="68"/>
    </row>
    <row r="1709" spans="1:9" s="9" customFormat="1" ht="38.25" x14ac:dyDescent="0.2">
      <c r="A1709" s="234"/>
      <c r="B1709" s="168" t="s">
        <v>252</v>
      </c>
      <c r="C1709" s="25"/>
      <c r="D1709" s="65"/>
      <c r="E1709" s="23"/>
      <c r="F1709" s="235"/>
      <c r="G1709" s="74"/>
      <c r="H1709" s="68"/>
    </row>
    <row r="1710" spans="1:9" s="9" customFormat="1" ht="31.5" customHeight="1" x14ac:dyDescent="0.2">
      <c r="A1710" s="234"/>
      <c r="B1710" s="168" t="s">
        <v>253</v>
      </c>
      <c r="C1710" s="25"/>
      <c r="D1710" s="65"/>
      <c r="E1710" s="23"/>
      <c r="F1710" s="235"/>
      <c r="G1710" s="74"/>
      <c r="H1710" s="68"/>
    </row>
    <row r="1711" spans="1:9" s="9" customFormat="1" ht="38.25" x14ac:dyDescent="0.2">
      <c r="A1711" s="234"/>
      <c r="B1711" s="168" t="s">
        <v>254</v>
      </c>
      <c r="C1711" s="25"/>
      <c r="D1711" s="65"/>
      <c r="E1711" s="23"/>
      <c r="F1711" s="235"/>
      <c r="G1711" s="74"/>
      <c r="H1711" s="68"/>
    </row>
    <row r="1712" spans="1:9" s="9" customFormat="1" ht="51" x14ac:dyDescent="0.2">
      <c r="A1712" s="234"/>
      <c r="B1712" s="168" t="s">
        <v>648</v>
      </c>
      <c r="C1712" s="25"/>
      <c r="D1712" s="65"/>
      <c r="E1712" s="23"/>
      <c r="F1712" s="235"/>
      <c r="G1712" s="74"/>
      <c r="H1712" s="68"/>
    </row>
    <row r="1713" spans="1:8" s="9" customFormat="1" ht="80.25" customHeight="1" x14ac:dyDescent="0.2">
      <c r="A1713" s="234"/>
      <c r="B1713" s="168" t="s">
        <v>255</v>
      </c>
      <c r="C1713" s="25"/>
      <c r="D1713" s="65"/>
      <c r="E1713" s="23"/>
      <c r="F1713" s="235"/>
      <c r="G1713" s="74"/>
      <c r="H1713" s="68"/>
    </row>
    <row r="1714" spans="1:8" s="9" customFormat="1" ht="51" x14ac:dyDescent="0.2">
      <c r="A1714" s="339"/>
      <c r="B1714" s="367" t="s">
        <v>256</v>
      </c>
      <c r="C1714" s="347"/>
      <c r="D1714" s="348"/>
      <c r="E1714" s="366"/>
      <c r="F1714" s="349"/>
      <c r="G1714" s="74"/>
      <c r="H1714" s="68"/>
    </row>
    <row r="1715" spans="1:8" s="9" customFormat="1" x14ac:dyDescent="0.2">
      <c r="A1715" s="234"/>
      <c r="B1715" s="168"/>
      <c r="C1715" s="25"/>
      <c r="D1715" s="65"/>
      <c r="E1715" s="23"/>
      <c r="F1715" s="235"/>
      <c r="G1715" s="74"/>
      <c r="H1715" s="68"/>
    </row>
    <row r="1716" spans="1:8" s="9" customFormat="1" ht="116.25" customHeight="1" x14ac:dyDescent="0.2">
      <c r="A1716" s="234"/>
      <c r="B1716" s="168" t="s">
        <v>257</v>
      </c>
      <c r="C1716" s="25"/>
      <c r="D1716" s="65"/>
      <c r="E1716" s="23"/>
      <c r="F1716" s="235"/>
      <c r="G1716" s="74"/>
      <c r="H1716" s="68"/>
    </row>
    <row r="1717" spans="1:8" s="9" customFormat="1" x14ac:dyDescent="0.2">
      <c r="A1717" s="234"/>
      <c r="B1717" s="24"/>
      <c r="C1717" s="25"/>
      <c r="D1717" s="65"/>
      <c r="E1717" s="23"/>
      <c r="F1717" s="235"/>
      <c r="G1717" s="74"/>
      <c r="H1717" s="68"/>
    </row>
    <row r="1718" spans="1:8" s="9" customFormat="1" ht="15" x14ac:dyDescent="0.2">
      <c r="A1718" s="259" t="s">
        <v>199</v>
      </c>
      <c r="B1718" s="71" t="s">
        <v>17</v>
      </c>
      <c r="C1718" s="25"/>
      <c r="D1718" s="65"/>
      <c r="E1718" s="23"/>
      <c r="F1718" s="235"/>
      <c r="G1718" s="74"/>
      <c r="H1718" s="68"/>
    </row>
    <row r="1719" spans="1:8" s="9" customFormat="1" ht="15" x14ac:dyDescent="0.2">
      <c r="A1719" s="234"/>
      <c r="B1719" s="71"/>
      <c r="C1719" s="25"/>
      <c r="D1719" s="65"/>
      <c r="E1719" s="23"/>
      <c r="F1719" s="235"/>
      <c r="G1719" s="74"/>
      <c r="H1719" s="68"/>
    </row>
    <row r="1720" spans="1:8" s="9" customFormat="1" ht="51" x14ac:dyDescent="0.2">
      <c r="A1720" s="259"/>
      <c r="B1720" s="28" t="s">
        <v>1191</v>
      </c>
      <c r="C1720" s="25"/>
      <c r="D1720" s="65"/>
      <c r="E1720" s="23"/>
      <c r="F1720" s="235"/>
      <c r="G1720" s="74"/>
      <c r="H1720" s="68"/>
    </row>
    <row r="1721" spans="1:8" s="9" customFormat="1" ht="63.75" x14ac:dyDescent="0.2">
      <c r="A1721" s="259"/>
      <c r="B1721" s="28" t="s">
        <v>1192</v>
      </c>
      <c r="C1721" s="25"/>
      <c r="D1721" s="65"/>
      <c r="E1721" s="23"/>
      <c r="F1721" s="235"/>
      <c r="G1721" s="74"/>
      <c r="H1721" s="68"/>
    </row>
    <row r="1722" spans="1:8" s="9" customFormat="1" ht="38.25" x14ac:dyDescent="0.2">
      <c r="A1722" s="259"/>
      <c r="B1722" s="28" t="s">
        <v>1193</v>
      </c>
      <c r="C1722" s="17"/>
      <c r="D1722" s="329"/>
      <c r="E1722" s="23"/>
      <c r="F1722" s="242"/>
      <c r="G1722" s="10"/>
      <c r="H1722" s="68"/>
    </row>
    <row r="1723" spans="1:8" s="9" customFormat="1" ht="76.5" x14ac:dyDescent="0.2">
      <c r="A1723" s="259"/>
      <c r="B1723" s="28" t="s">
        <v>1194</v>
      </c>
      <c r="C1723" s="17"/>
      <c r="D1723" s="329"/>
      <c r="E1723" s="23"/>
      <c r="F1723" s="242"/>
      <c r="G1723" s="10"/>
      <c r="H1723" s="68"/>
    </row>
    <row r="1724" spans="1:8" s="9" customFormat="1" ht="51" x14ac:dyDescent="0.2">
      <c r="A1724" s="259"/>
      <c r="B1724" s="28" t="s">
        <v>533</v>
      </c>
      <c r="C1724" s="17"/>
      <c r="D1724" s="329"/>
      <c r="E1724" s="23"/>
      <c r="F1724" s="242"/>
      <c r="G1724" s="10"/>
      <c r="H1724" s="68"/>
    </row>
    <row r="1725" spans="1:8" s="9" customFormat="1" ht="63.75" x14ac:dyDescent="0.2">
      <c r="A1725" s="259"/>
      <c r="B1725" s="28" t="s">
        <v>1195</v>
      </c>
      <c r="C1725" s="17"/>
      <c r="D1725" s="329"/>
      <c r="E1725" s="23"/>
      <c r="F1725" s="242"/>
      <c r="G1725" s="10"/>
      <c r="H1725" s="68"/>
    </row>
    <row r="1726" spans="1:8" s="9" customFormat="1" ht="76.5" x14ac:dyDescent="0.2">
      <c r="A1726" s="259"/>
      <c r="B1726" s="28" t="s">
        <v>1196</v>
      </c>
      <c r="C1726" s="17"/>
      <c r="D1726" s="329"/>
      <c r="E1726" s="23"/>
      <c r="F1726" s="242"/>
      <c r="G1726" s="10"/>
      <c r="H1726" s="68"/>
    </row>
    <row r="1727" spans="1:8" s="9" customFormat="1" ht="63.75" x14ac:dyDescent="0.2">
      <c r="A1727" s="370"/>
      <c r="B1727" s="386" t="s">
        <v>540</v>
      </c>
      <c r="C1727" s="363"/>
      <c r="D1727" s="399"/>
      <c r="E1727" s="366"/>
      <c r="F1727" s="353"/>
      <c r="G1727" s="10"/>
      <c r="H1727" s="68"/>
    </row>
    <row r="1728" spans="1:8" s="9" customFormat="1" x14ac:dyDescent="0.2">
      <c r="A1728" s="259"/>
      <c r="B1728" s="28"/>
      <c r="C1728" s="17"/>
      <c r="D1728" s="329"/>
      <c r="E1728" s="23"/>
      <c r="F1728" s="242"/>
      <c r="G1728" s="10"/>
      <c r="H1728" s="68"/>
    </row>
    <row r="1729" spans="1:8" s="9" customFormat="1" ht="51" x14ac:dyDescent="0.2">
      <c r="A1729" s="259"/>
      <c r="B1729" s="28" t="s">
        <v>534</v>
      </c>
      <c r="C1729" s="17"/>
      <c r="D1729" s="329"/>
      <c r="E1729" s="23"/>
      <c r="F1729" s="242"/>
      <c r="G1729" s="10"/>
      <c r="H1729" s="68"/>
    </row>
    <row r="1730" spans="1:8" s="9" customFormat="1" ht="38.25" x14ac:dyDescent="0.2">
      <c r="A1730" s="259"/>
      <c r="B1730" s="28" t="s">
        <v>535</v>
      </c>
      <c r="C1730" s="17"/>
      <c r="D1730" s="329"/>
      <c r="E1730" s="23"/>
      <c r="F1730" s="242"/>
      <c r="G1730" s="10"/>
      <c r="H1730" s="68"/>
    </row>
    <row r="1731" spans="1:8" s="9" customFormat="1" ht="38.25" x14ac:dyDescent="0.2">
      <c r="A1731" s="259"/>
      <c r="B1731" s="34" t="s">
        <v>133</v>
      </c>
      <c r="C1731" s="17"/>
      <c r="D1731" s="329"/>
      <c r="E1731" s="23"/>
      <c r="F1731" s="242"/>
      <c r="G1731" s="10"/>
      <c r="H1731" s="68"/>
    </row>
    <row r="1732" spans="1:8" s="9" customFormat="1" x14ac:dyDescent="0.2">
      <c r="A1732" s="259"/>
      <c r="B1732" s="34"/>
      <c r="C1732" s="17"/>
      <c r="D1732" s="329"/>
      <c r="E1732" s="23"/>
      <c r="F1732" s="242"/>
      <c r="G1732" s="10"/>
      <c r="H1732" s="68"/>
    </row>
    <row r="1733" spans="1:8" s="9" customFormat="1" x14ac:dyDescent="0.2">
      <c r="A1733" s="259"/>
      <c r="B1733" s="12" t="s">
        <v>191</v>
      </c>
      <c r="C1733" s="17"/>
      <c r="D1733" s="18"/>
      <c r="E1733" s="23"/>
      <c r="F1733" s="242"/>
      <c r="G1733" s="11"/>
      <c r="H1733" s="68"/>
    </row>
    <row r="1734" spans="1:8" s="9" customFormat="1" ht="38.25" x14ac:dyDescent="0.2">
      <c r="A1734" s="259"/>
      <c r="B1734" s="28" t="s">
        <v>536</v>
      </c>
      <c r="C1734" s="17"/>
      <c r="D1734" s="18"/>
      <c r="E1734" s="23"/>
      <c r="F1734" s="242"/>
      <c r="G1734" s="11"/>
      <c r="H1734" s="68"/>
    </row>
    <row r="1735" spans="1:8" s="9" customFormat="1" x14ac:dyDescent="0.2">
      <c r="A1735" s="259"/>
      <c r="B1735" s="12" t="s">
        <v>1380</v>
      </c>
      <c r="C1735" s="17" t="s">
        <v>33</v>
      </c>
      <c r="D1735" s="42">
        <v>1</v>
      </c>
      <c r="E1735" s="12"/>
      <c r="F1735" s="242">
        <f>D1735*E1735</f>
        <v>0</v>
      </c>
      <c r="G1735" s="11"/>
      <c r="H1735" s="68"/>
    </row>
    <row r="1736" spans="1:8" s="9" customFormat="1" x14ac:dyDescent="0.2">
      <c r="A1736" s="259"/>
      <c r="B1736" s="12"/>
      <c r="C1736" s="17"/>
      <c r="D1736" s="42"/>
      <c r="E1736" s="23"/>
      <c r="F1736" s="242"/>
      <c r="G1736" s="11"/>
      <c r="H1736" s="68"/>
    </row>
    <row r="1737" spans="1:8" s="9" customFormat="1" ht="15" x14ac:dyDescent="0.2">
      <c r="A1737" s="259" t="s">
        <v>200</v>
      </c>
      <c r="B1737" s="71" t="s">
        <v>17</v>
      </c>
      <c r="C1737" s="17"/>
      <c r="D1737" s="42"/>
      <c r="E1737" s="23"/>
      <c r="F1737" s="242"/>
      <c r="G1737" s="11"/>
      <c r="H1737" s="68"/>
    </row>
    <row r="1738" spans="1:8" s="9" customFormat="1" ht="15" x14ac:dyDescent="0.2">
      <c r="A1738" s="259"/>
      <c r="B1738" s="71"/>
      <c r="C1738" s="17"/>
      <c r="D1738" s="42"/>
      <c r="E1738" s="23"/>
      <c r="F1738" s="242"/>
      <c r="G1738" s="11"/>
      <c r="H1738" s="68"/>
    </row>
    <row r="1739" spans="1:8" s="9" customFormat="1" ht="51" x14ac:dyDescent="0.2">
      <c r="A1739" s="259"/>
      <c r="B1739" s="28" t="s">
        <v>1197</v>
      </c>
      <c r="C1739" s="17"/>
      <c r="D1739" s="42"/>
      <c r="E1739" s="23"/>
      <c r="F1739" s="242"/>
      <c r="G1739" s="11"/>
      <c r="H1739" s="68"/>
    </row>
    <row r="1740" spans="1:8" s="9" customFormat="1" ht="63.75" x14ac:dyDescent="0.2">
      <c r="A1740" s="259"/>
      <c r="B1740" s="28" t="s">
        <v>1198</v>
      </c>
      <c r="C1740" s="17"/>
      <c r="D1740" s="42"/>
      <c r="E1740" s="23"/>
      <c r="F1740" s="242"/>
      <c r="G1740" s="11"/>
      <c r="H1740" s="68"/>
    </row>
    <row r="1741" spans="1:8" s="9" customFormat="1" ht="38.25" x14ac:dyDescent="0.2">
      <c r="A1741" s="259"/>
      <c r="B1741" s="20" t="s">
        <v>1193</v>
      </c>
      <c r="C1741" s="17"/>
      <c r="D1741" s="42"/>
      <c r="E1741" s="23"/>
      <c r="F1741" s="242"/>
      <c r="G1741" s="11"/>
      <c r="H1741" s="68"/>
    </row>
    <row r="1742" spans="1:8" s="9" customFormat="1" ht="76.5" x14ac:dyDescent="0.2">
      <c r="A1742" s="259"/>
      <c r="B1742" s="20" t="s">
        <v>1199</v>
      </c>
      <c r="C1742" s="17"/>
      <c r="D1742" s="42"/>
      <c r="E1742" s="23"/>
      <c r="F1742" s="242"/>
      <c r="G1742" s="11"/>
      <c r="H1742" s="68"/>
    </row>
    <row r="1743" spans="1:8" s="9" customFormat="1" ht="51" x14ac:dyDescent="0.2">
      <c r="A1743" s="259"/>
      <c r="B1743" s="20" t="s">
        <v>538</v>
      </c>
      <c r="C1743" s="17"/>
      <c r="D1743" s="42"/>
      <c r="E1743" s="23"/>
      <c r="F1743" s="242"/>
      <c r="G1743" s="11"/>
      <c r="H1743" s="68"/>
    </row>
    <row r="1744" spans="1:8" s="9" customFormat="1" ht="51" x14ac:dyDescent="0.2">
      <c r="A1744" s="259"/>
      <c r="B1744" s="20" t="s">
        <v>539</v>
      </c>
      <c r="C1744" s="17"/>
      <c r="D1744" s="42"/>
      <c r="E1744" s="23"/>
      <c r="F1744" s="242"/>
      <c r="G1744" s="11"/>
      <c r="H1744" s="68"/>
    </row>
    <row r="1745" spans="1:8" s="9" customFormat="1" ht="38.25" x14ac:dyDescent="0.2">
      <c r="A1745" s="259"/>
      <c r="B1745" s="28" t="s">
        <v>535</v>
      </c>
      <c r="C1745" s="17"/>
      <c r="D1745" s="42"/>
      <c r="E1745" s="23"/>
      <c r="F1745" s="242"/>
      <c r="G1745" s="11"/>
      <c r="H1745" s="68"/>
    </row>
    <row r="1746" spans="1:8" s="9" customFormat="1" ht="38.25" x14ac:dyDescent="0.2">
      <c r="A1746" s="370"/>
      <c r="B1746" s="381" t="s">
        <v>133</v>
      </c>
      <c r="C1746" s="363"/>
      <c r="D1746" s="398"/>
      <c r="E1746" s="366"/>
      <c r="F1746" s="353"/>
      <c r="G1746" s="11"/>
      <c r="H1746" s="68"/>
    </row>
    <row r="1747" spans="1:8" s="9" customFormat="1" x14ac:dyDescent="0.2">
      <c r="A1747" s="259"/>
      <c r="B1747" s="12"/>
      <c r="C1747" s="17"/>
      <c r="D1747" s="42"/>
      <c r="E1747" s="23"/>
      <c r="F1747" s="242"/>
      <c r="G1747" s="11"/>
      <c r="H1747" s="68"/>
    </row>
    <row r="1748" spans="1:8" s="9" customFormat="1" x14ac:dyDescent="0.2">
      <c r="A1748" s="259"/>
      <c r="B1748" s="12" t="s">
        <v>1381</v>
      </c>
      <c r="C1748" s="17"/>
      <c r="D1748" s="18"/>
      <c r="E1748" s="23"/>
      <c r="F1748" s="242"/>
      <c r="G1748" s="11"/>
      <c r="H1748" s="68"/>
    </row>
    <row r="1749" spans="1:8" s="9" customFormat="1" ht="38.25" x14ac:dyDescent="0.2">
      <c r="A1749" s="259"/>
      <c r="B1749" s="28" t="s">
        <v>537</v>
      </c>
      <c r="C1749" s="17"/>
      <c r="D1749" s="18"/>
      <c r="E1749" s="23"/>
      <c r="F1749" s="242"/>
      <c r="G1749" s="11"/>
      <c r="H1749" s="68"/>
    </row>
    <row r="1750" spans="1:8" s="9" customFormat="1" x14ac:dyDescent="0.2">
      <c r="A1750" s="259"/>
      <c r="B1750" s="12" t="s">
        <v>1507</v>
      </c>
      <c r="C1750" s="17" t="s">
        <v>33</v>
      </c>
      <c r="D1750" s="42">
        <v>1</v>
      </c>
      <c r="E1750" s="12"/>
      <c r="F1750" s="242">
        <f>D1750*E1750</f>
        <v>0</v>
      </c>
      <c r="G1750" s="11"/>
      <c r="H1750" s="68"/>
    </row>
    <row r="1751" spans="1:8" s="9" customFormat="1" x14ac:dyDescent="0.2">
      <c r="A1751" s="259"/>
      <c r="B1751" s="12"/>
      <c r="C1751" s="17"/>
      <c r="D1751" s="42"/>
      <c r="E1751" s="23"/>
      <c r="F1751" s="242"/>
      <c r="G1751" s="11"/>
      <c r="H1751" s="68"/>
    </row>
    <row r="1752" spans="1:8" s="9" customFormat="1" ht="15" x14ac:dyDescent="0.2">
      <c r="A1752" s="259" t="s">
        <v>201</v>
      </c>
      <c r="B1752" s="71" t="s">
        <v>17</v>
      </c>
      <c r="C1752" s="17"/>
      <c r="D1752" s="42"/>
      <c r="E1752" s="23"/>
      <c r="F1752" s="242"/>
      <c r="G1752" s="11"/>
      <c r="H1752" s="68"/>
    </row>
    <row r="1753" spans="1:8" s="9" customFormat="1" ht="15" x14ac:dyDescent="0.2">
      <c r="A1753" s="259"/>
      <c r="B1753" s="71"/>
      <c r="C1753" s="17"/>
      <c r="D1753" s="42"/>
      <c r="E1753" s="23"/>
      <c r="F1753" s="242"/>
      <c r="G1753" s="11"/>
      <c r="H1753" s="68"/>
    </row>
    <row r="1754" spans="1:8" s="9" customFormat="1" ht="41.25" customHeight="1" x14ac:dyDescent="0.2">
      <c r="A1754" s="259"/>
      <c r="B1754" s="28" t="s">
        <v>1200</v>
      </c>
      <c r="C1754" s="17"/>
      <c r="D1754" s="42"/>
      <c r="E1754" s="23"/>
      <c r="F1754" s="242"/>
      <c r="G1754" s="11"/>
      <c r="H1754" s="68"/>
    </row>
    <row r="1755" spans="1:8" s="9" customFormat="1" ht="51" x14ac:dyDescent="0.2">
      <c r="A1755" s="259"/>
      <c r="B1755" s="28" t="s">
        <v>1201</v>
      </c>
      <c r="C1755" s="17"/>
      <c r="D1755" s="42"/>
      <c r="E1755" s="23"/>
      <c r="F1755" s="242"/>
      <c r="G1755" s="11"/>
      <c r="H1755" s="68"/>
    </row>
    <row r="1756" spans="1:8" s="9" customFormat="1" ht="76.5" x14ac:dyDescent="0.2">
      <c r="A1756" s="259"/>
      <c r="B1756" s="28" t="s">
        <v>1202</v>
      </c>
      <c r="C1756" s="17"/>
      <c r="D1756" s="42"/>
      <c r="E1756" s="23"/>
      <c r="F1756" s="242"/>
      <c r="G1756" s="11"/>
      <c r="H1756" s="68"/>
    </row>
    <row r="1757" spans="1:8" s="9" customFormat="1" ht="76.5" x14ac:dyDescent="0.2">
      <c r="A1757" s="259"/>
      <c r="B1757" s="28" t="s">
        <v>1196</v>
      </c>
      <c r="C1757" s="17"/>
      <c r="D1757" s="42"/>
      <c r="E1757" s="23"/>
      <c r="F1757" s="242"/>
      <c r="G1757" s="28"/>
      <c r="H1757" s="68"/>
    </row>
    <row r="1758" spans="1:8" s="9" customFormat="1" ht="63.75" x14ac:dyDescent="0.2">
      <c r="A1758" s="259"/>
      <c r="B1758" s="20" t="s">
        <v>540</v>
      </c>
      <c r="C1758" s="17"/>
      <c r="D1758" s="42"/>
      <c r="E1758" s="23"/>
      <c r="F1758" s="242"/>
      <c r="G1758" s="11"/>
      <c r="H1758" s="68"/>
    </row>
    <row r="1759" spans="1:8" s="9" customFormat="1" ht="51" x14ac:dyDescent="0.2">
      <c r="A1759" s="259"/>
      <c r="B1759" s="20" t="s">
        <v>534</v>
      </c>
      <c r="C1759" s="17"/>
      <c r="D1759" s="42"/>
      <c r="E1759" s="23"/>
      <c r="F1759" s="242"/>
      <c r="G1759" s="11"/>
      <c r="H1759" s="68"/>
    </row>
    <row r="1760" spans="1:8" s="9" customFormat="1" ht="38.25" x14ac:dyDescent="0.2">
      <c r="A1760" s="259"/>
      <c r="B1760" s="28" t="s">
        <v>535</v>
      </c>
      <c r="C1760" s="17"/>
      <c r="D1760" s="42"/>
      <c r="E1760" s="23"/>
      <c r="F1760" s="242"/>
      <c r="G1760" s="11"/>
      <c r="H1760" s="68"/>
    </row>
    <row r="1761" spans="1:8" s="9" customFormat="1" ht="38.25" x14ac:dyDescent="0.2">
      <c r="A1761" s="259"/>
      <c r="B1761" s="34" t="s">
        <v>133</v>
      </c>
      <c r="C1761" s="17"/>
      <c r="D1761" s="42"/>
      <c r="E1761" s="23"/>
      <c r="F1761" s="242"/>
      <c r="G1761" s="11"/>
      <c r="H1761" s="68"/>
    </row>
    <row r="1762" spans="1:8" s="9" customFormat="1" x14ac:dyDescent="0.2">
      <c r="A1762" s="259"/>
      <c r="B1762" s="12"/>
      <c r="C1762" s="17"/>
      <c r="D1762" s="42"/>
      <c r="E1762" s="23"/>
      <c r="F1762" s="242"/>
      <c r="G1762" s="11"/>
      <c r="H1762" s="68"/>
    </row>
    <row r="1763" spans="1:8" s="9" customFormat="1" x14ac:dyDescent="0.2">
      <c r="A1763" s="285" t="s">
        <v>1203</v>
      </c>
      <c r="B1763" s="12" t="s">
        <v>1382</v>
      </c>
      <c r="C1763" s="17"/>
      <c r="D1763" s="18"/>
      <c r="E1763" s="23"/>
      <c r="F1763" s="242"/>
      <c r="G1763" s="11"/>
      <c r="H1763" s="68"/>
    </row>
    <row r="1764" spans="1:8" s="9" customFormat="1" ht="38.25" x14ac:dyDescent="0.2">
      <c r="A1764" s="285"/>
      <c r="B1764" s="28" t="s">
        <v>541</v>
      </c>
      <c r="C1764" s="17"/>
      <c r="D1764" s="18"/>
      <c r="E1764" s="23"/>
      <c r="F1764" s="242"/>
      <c r="G1764" s="11"/>
      <c r="H1764" s="68"/>
    </row>
    <row r="1765" spans="1:8" s="9" customFormat="1" x14ac:dyDescent="0.2">
      <c r="A1765" s="400"/>
      <c r="B1765" s="343" t="s">
        <v>1383</v>
      </c>
      <c r="C1765" s="363" t="s">
        <v>33</v>
      </c>
      <c r="D1765" s="398">
        <v>4</v>
      </c>
      <c r="E1765" s="343"/>
      <c r="F1765" s="353">
        <f>D1765*E1765</f>
        <v>0</v>
      </c>
      <c r="G1765" s="11"/>
      <c r="H1765" s="68"/>
    </row>
    <row r="1766" spans="1:8" s="9" customFormat="1" x14ac:dyDescent="0.2">
      <c r="A1766" s="285"/>
      <c r="B1766" s="12"/>
      <c r="C1766" s="17"/>
      <c r="D1766" s="42"/>
      <c r="E1766" s="23"/>
      <c r="F1766" s="242"/>
      <c r="G1766" s="11"/>
      <c r="H1766" s="68"/>
    </row>
    <row r="1767" spans="1:8" s="9" customFormat="1" x14ac:dyDescent="0.2">
      <c r="A1767" s="285" t="s">
        <v>1204</v>
      </c>
      <c r="B1767" s="12" t="s">
        <v>1384</v>
      </c>
      <c r="C1767" s="17"/>
      <c r="D1767" s="18"/>
      <c r="E1767" s="23"/>
      <c r="F1767" s="242"/>
      <c r="G1767" s="11"/>
      <c r="H1767" s="68"/>
    </row>
    <row r="1768" spans="1:8" s="9" customFormat="1" ht="38.25" x14ac:dyDescent="0.2">
      <c r="A1768" s="285"/>
      <c r="B1768" s="28" t="s">
        <v>541</v>
      </c>
      <c r="C1768" s="17"/>
      <c r="D1768" s="18"/>
      <c r="E1768" s="23"/>
      <c r="F1768" s="242"/>
      <c r="G1768" s="11"/>
      <c r="H1768" s="68"/>
    </row>
    <row r="1769" spans="1:8" s="9" customFormat="1" x14ac:dyDescent="0.2">
      <c r="A1769" s="259"/>
      <c r="B1769" s="12" t="s">
        <v>1385</v>
      </c>
      <c r="C1769" s="17" t="s">
        <v>33</v>
      </c>
      <c r="D1769" s="42">
        <v>1</v>
      </c>
      <c r="E1769" s="12"/>
      <c r="F1769" s="242">
        <f>D1769*E1769</f>
        <v>0</v>
      </c>
      <c r="G1769" s="11"/>
      <c r="H1769" s="68"/>
    </row>
    <row r="1770" spans="1:8" s="9" customFormat="1" x14ac:dyDescent="0.2">
      <c r="A1770" s="259"/>
      <c r="B1770" s="12"/>
      <c r="C1770" s="17"/>
      <c r="D1770" s="42"/>
      <c r="E1770" s="12"/>
      <c r="F1770" s="242"/>
      <c r="G1770" s="11"/>
      <c r="H1770" s="68"/>
    </row>
    <row r="1771" spans="1:8" s="9" customFormat="1" x14ac:dyDescent="0.2">
      <c r="A1771" s="285" t="s">
        <v>1627</v>
      </c>
      <c r="B1771" s="12" t="s">
        <v>1386</v>
      </c>
      <c r="C1771" s="17"/>
      <c r="D1771" s="18"/>
      <c r="E1771" s="23"/>
      <c r="F1771" s="242"/>
      <c r="G1771" s="11"/>
      <c r="H1771" s="68"/>
    </row>
    <row r="1772" spans="1:8" s="9" customFormat="1" ht="38.25" x14ac:dyDescent="0.2">
      <c r="A1772" s="285"/>
      <c r="B1772" s="28" t="s">
        <v>541</v>
      </c>
      <c r="C1772" s="17"/>
      <c r="D1772" s="18"/>
      <c r="E1772" s="23"/>
      <c r="F1772" s="242"/>
      <c r="G1772" s="11"/>
      <c r="H1772" s="68"/>
    </row>
    <row r="1773" spans="1:8" s="9" customFormat="1" x14ac:dyDescent="0.2">
      <c r="A1773" s="285"/>
      <c r="B1773" s="12" t="s">
        <v>1387</v>
      </c>
      <c r="C1773" s="17" t="s">
        <v>33</v>
      </c>
      <c r="D1773" s="42">
        <v>4</v>
      </c>
      <c r="E1773" s="12"/>
      <c r="F1773" s="242">
        <f>D1773*E1773</f>
        <v>0</v>
      </c>
      <c r="G1773" s="11"/>
      <c r="H1773" s="68"/>
    </row>
    <row r="1774" spans="1:8" s="9" customFormat="1" x14ac:dyDescent="0.2">
      <c r="A1774" s="285"/>
      <c r="B1774" s="12"/>
      <c r="C1774" s="17"/>
      <c r="D1774" s="42"/>
      <c r="E1774" s="23"/>
      <c r="F1774" s="242"/>
      <c r="G1774" s="11"/>
      <c r="H1774" s="68"/>
    </row>
    <row r="1775" spans="1:8" s="9" customFormat="1" x14ac:dyDescent="0.2">
      <c r="A1775" s="285" t="s">
        <v>1628</v>
      </c>
      <c r="B1775" s="12" t="s">
        <v>1388</v>
      </c>
      <c r="C1775" s="17"/>
      <c r="D1775" s="18"/>
      <c r="E1775" s="23"/>
      <c r="F1775" s="242"/>
      <c r="G1775" s="11"/>
      <c r="H1775" s="68"/>
    </row>
    <row r="1776" spans="1:8" s="9" customFormat="1" ht="38.25" x14ac:dyDescent="0.2">
      <c r="A1776" s="285"/>
      <c r="B1776" s="28" t="s">
        <v>541</v>
      </c>
      <c r="C1776" s="17"/>
      <c r="D1776" s="18"/>
      <c r="E1776" s="23"/>
      <c r="F1776" s="242"/>
      <c r="G1776" s="11"/>
      <c r="H1776" s="68"/>
    </row>
    <row r="1777" spans="1:8" s="9" customFormat="1" x14ac:dyDescent="0.2">
      <c r="A1777" s="259"/>
      <c r="B1777" s="12" t="s">
        <v>1389</v>
      </c>
      <c r="C1777" s="17" t="s">
        <v>33</v>
      </c>
      <c r="D1777" s="42">
        <v>1</v>
      </c>
      <c r="E1777" s="12"/>
      <c r="F1777" s="242">
        <f>D1777*E1777</f>
        <v>0</v>
      </c>
      <c r="G1777" s="11"/>
      <c r="H1777" s="68"/>
    </row>
    <row r="1778" spans="1:8" s="9" customFormat="1" x14ac:dyDescent="0.2">
      <c r="A1778" s="259"/>
      <c r="B1778" s="12"/>
      <c r="C1778" s="17"/>
      <c r="D1778" s="42"/>
      <c r="E1778" s="23"/>
      <c r="F1778" s="242"/>
      <c r="G1778" s="11"/>
      <c r="H1778" s="68"/>
    </row>
    <row r="1779" spans="1:8" s="9" customFormat="1" ht="15" x14ac:dyDescent="0.2">
      <c r="A1779" s="259" t="s">
        <v>202</v>
      </c>
      <c r="B1779" s="35" t="s">
        <v>1208</v>
      </c>
      <c r="C1779" s="17"/>
      <c r="D1779" s="42"/>
      <c r="E1779" s="23"/>
      <c r="F1779" s="242"/>
      <c r="G1779" s="11"/>
      <c r="H1779" s="68"/>
    </row>
    <row r="1780" spans="1:8" s="9" customFormat="1" x14ac:dyDescent="0.2">
      <c r="A1780" s="259"/>
      <c r="B1780" s="12"/>
      <c r="C1780" s="17"/>
      <c r="D1780" s="42"/>
      <c r="E1780" s="23"/>
      <c r="F1780" s="242"/>
      <c r="G1780" s="11"/>
      <c r="H1780" s="68"/>
    </row>
    <row r="1781" spans="1:8" s="9" customFormat="1" ht="38.25" x14ac:dyDescent="0.2">
      <c r="A1781" s="259"/>
      <c r="B1781" s="28" t="s">
        <v>1207</v>
      </c>
      <c r="C1781" s="17"/>
      <c r="D1781" s="42"/>
      <c r="E1781" s="23"/>
      <c r="F1781" s="242"/>
      <c r="G1781" s="11"/>
      <c r="H1781" s="68"/>
    </row>
    <row r="1782" spans="1:8" s="9" customFormat="1" ht="51" x14ac:dyDescent="0.2">
      <c r="A1782" s="259"/>
      <c r="B1782" s="20" t="s">
        <v>1390</v>
      </c>
      <c r="C1782" s="17"/>
      <c r="D1782" s="42"/>
      <c r="E1782" s="23"/>
      <c r="F1782" s="242"/>
      <c r="G1782" s="11"/>
      <c r="H1782" s="68"/>
    </row>
    <row r="1783" spans="1:8" s="9" customFormat="1" ht="51" x14ac:dyDescent="0.2">
      <c r="A1783" s="259"/>
      <c r="B1783" s="20" t="s">
        <v>1205</v>
      </c>
      <c r="C1783" s="17"/>
      <c r="D1783" s="42"/>
      <c r="E1783" s="23"/>
      <c r="F1783" s="242"/>
      <c r="G1783" s="11"/>
      <c r="H1783" s="68"/>
    </row>
    <row r="1784" spans="1:8" s="9" customFormat="1" ht="63.75" x14ac:dyDescent="0.2">
      <c r="A1784" s="259"/>
      <c r="B1784" s="20" t="s">
        <v>1206</v>
      </c>
      <c r="C1784" s="17"/>
      <c r="D1784" s="42"/>
      <c r="E1784" s="23"/>
      <c r="F1784" s="242"/>
      <c r="G1784" s="11"/>
      <c r="H1784" s="68"/>
    </row>
    <row r="1785" spans="1:8" s="9" customFormat="1" ht="38.25" x14ac:dyDescent="0.2">
      <c r="A1785" s="259"/>
      <c r="B1785" s="20" t="s">
        <v>542</v>
      </c>
      <c r="C1785" s="17"/>
      <c r="D1785" s="42"/>
      <c r="E1785" s="23"/>
      <c r="F1785" s="242"/>
      <c r="G1785" s="11"/>
      <c r="H1785" s="68"/>
    </row>
    <row r="1786" spans="1:8" s="9" customFormat="1" ht="38.25" x14ac:dyDescent="0.2">
      <c r="A1786" s="259"/>
      <c r="B1786" s="20" t="s">
        <v>543</v>
      </c>
      <c r="C1786" s="17"/>
      <c r="D1786" s="42"/>
      <c r="E1786" s="23"/>
      <c r="F1786" s="242"/>
      <c r="G1786" s="11"/>
      <c r="H1786" s="68"/>
    </row>
    <row r="1787" spans="1:8" s="9" customFormat="1" ht="25.5" x14ac:dyDescent="0.2">
      <c r="A1787" s="259"/>
      <c r="B1787" s="34" t="s">
        <v>544</v>
      </c>
      <c r="C1787" s="17"/>
      <c r="D1787" s="42"/>
      <c r="E1787" s="23"/>
      <c r="F1787" s="242"/>
      <c r="G1787" s="11"/>
      <c r="H1787" s="68"/>
    </row>
    <row r="1788" spans="1:8" s="9" customFormat="1" x14ac:dyDescent="0.2">
      <c r="A1788" s="259"/>
      <c r="B1788" s="12"/>
      <c r="C1788" s="17"/>
      <c r="D1788" s="42"/>
      <c r="E1788" s="23"/>
      <c r="F1788" s="242"/>
      <c r="G1788" s="11"/>
      <c r="H1788" s="68"/>
    </row>
    <row r="1789" spans="1:8" s="9" customFormat="1" x14ac:dyDescent="0.2">
      <c r="A1789" s="259"/>
      <c r="B1789" s="12" t="s">
        <v>1391</v>
      </c>
      <c r="C1789" s="17"/>
      <c r="D1789" s="18"/>
      <c r="E1789" s="23"/>
      <c r="F1789" s="242"/>
      <c r="G1789" s="11"/>
      <c r="H1789" s="68"/>
    </row>
    <row r="1790" spans="1:8" s="9" customFormat="1" x14ac:dyDescent="0.2">
      <c r="A1790" s="259"/>
      <c r="B1790" s="28" t="s">
        <v>1398</v>
      </c>
      <c r="C1790" s="17"/>
      <c r="D1790" s="18"/>
      <c r="E1790" s="23"/>
      <c r="F1790" s="242"/>
      <c r="G1790" s="11"/>
      <c r="H1790" s="68"/>
    </row>
    <row r="1791" spans="1:8" s="9" customFormat="1" x14ac:dyDescent="0.2">
      <c r="A1791" s="370"/>
      <c r="B1791" s="343" t="s">
        <v>545</v>
      </c>
      <c r="C1791" s="363" t="s">
        <v>33</v>
      </c>
      <c r="D1791" s="398">
        <v>1</v>
      </c>
      <c r="E1791" s="343"/>
      <c r="F1791" s="353">
        <f>D1791*E1791</f>
        <v>0</v>
      </c>
      <c r="G1791" s="11"/>
      <c r="H1791" s="68"/>
    </row>
    <row r="1792" spans="1:8" s="9" customFormat="1" x14ac:dyDescent="0.2">
      <c r="A1792" s="259"/>
      <c r="B1792" s="12"/>
      <c r="C1792" s="17"/>
      <c r="D1792" s="42"/>
      <c r="E1792" s="12"/>
      <c r="F1792" s="242"/>
      <c r="G1792" s="11"/>
      <c r="H1792" s="68"/>
    </row>
    <row r="1793" spans="1:8" s="9" customFormat="1" ht="15" x14ac:dyDescent="0.2">
      <c r="A1793" s="259" t="s">
        <v>203</v>
      </c>
      <c r="B1793" s="35" t="s">
        <v>1392</v>
      </c>
      <c r="C1793" s="17"/>
      <c r="D1793" s="42"/>
      <c r="E1793" s="23"/>
      <c r="F1793" s="242"/>
      <c r="G1793" s="11"/>
      <c r="H1793" s="68"/>
    </row>
    <row r="1794" spans="1:8" s="9" customFormat="1" x14ac:dyDescent="0.2">
      <c r="A1794" s="259"/>
      <c r="B1794" s="12"/>
      <c r="C1794" s="17"/>
      <c r="D1794" s="42"/>
      <c r="E1794" s="12"/>
      <c r="F1794" s="242"/>
      <c r="G1794" s="11"/>
      <c r="H1794" s="68"/>
    </row>
    <row r="1795" spans="1:8" s="9" customFormat="1" ht="25.5" x14ac:dyDescent="0.2">
      <c r="A1795" s="259"/>
      <c r="B1795" s="28" t="s">
        <v>1393</v>
      </c>
      <c r="C1795" s="17"/>
      <c r="D1795" s="42"/>
      <c r="E1795" s="23"/>
      <c r="F1795" s="242"/>
      <c r="G1795" s="11"/>
      <c r="H1795" s="68"/>
    </row>
    <row r="1796" spans="1:8" s="9" customFormat="1" ht="25.5" x14ac:dyDescent="0.2">
      <c r="A1796" s="259"/>
      <c r="B1796" s="20" t="s">
        <v>1394</v>
      </c>
      <c r="C1796" s="17"/>
      <c r="D1796" s="42"/>
      <c r="E1796" s="23"/>
      <c r="F1796" s="242"/>
      <c r="G1796" s="11"/>
      <c r="H1796" s="68"/>
    </row>
    <row r="1797" spans="1:8" s="9" customFormat="1" ht="54" customHeight="1" x14ac:dyDescent="0.2">
      <c r="A1797" s="259"/>
      <c r="B1797" s="34" t="s">
        <v>1395</v>
      </c>
      <c r="C1797" s="17"/>
      <c r="D1797" s="42"/>
      <c r="E1797" s="23"/>
      <c r="F1797" s="242"/>
      <c r="G1797" s="11"/>
      <c r="H1797" s="68"/>
    </row>
    <row r="1798" spans="1:8" s="9" customFormat="1" ht="63.75" x14ac:dyDescent="0.2">
      <c r="A1798" s="259"/>
      <c r="B1798" s="20" t="s">
        <v>1396</v>
      </c>
      <c r="C1798" s="17"/>
      <c r="D1798" s="42"/>
      <c r="E1798" s="23"/>
      <c r="F1798" s="242"/>
      <c r="G1798" s="11"/>
      <c r="H1798" s="68"/>
    </row>
    <row r="1799" spans="1:8" s="9" customFormat="1" ht="25.5" x14ac:dyDescent="0.2">
      <c r="A1799" s="259"/>
      <c r="B1799" s="34" t="s">
        <v>544</v>
      </c>
      <c r="C1799" s="17"/>
      <c r="D1799" s="42"/>
      <c r="E1799" s="23"/>
      <c r="F1799" s="242"/>
      <c r="G1799" s="11"/>
      <c r="H1799" s="68"/>
    </row>
    <row r="1800" spans="1:8" s="9" customFormat="1" x14ac:dyDescent="0.2">
      <c r="A1800" s="259"/>
      <c r="B1800" s="20"/>
      <c r="C1800" s="17"/>
      <c r="D1800" s="42"/>
      <c r="E1800" s="23"/>
      <c r="F1800" s="242"/>
      <c r="G1800" s="11"/>
      <c r="H1800" s="68"/>
    </row>
    <row r="1801" spans="1:8" s="9" customFormat="1" x14ac:dyDescent="0.2">
      <c r="A1801" s="285" t="s">
        <v>1546</v>
      </c>
      <c r="B1801" s="12" t="s">
        <v>1397</v>
      </c>
      <c r="C1801" s="17"/>
      <c r="D1801" s="18"/>
      <c r="E1801" s="23"/>
      <c r="F1801" s="242"/>
      <c r="G1801" s="11"/>
      <c r="H1801" s="68"/>
    </row>
    <row r="1802" spans="1:8" s="9" customFormat="1" x14ac:dyDescent="0.2">
      <c r="A1802" s="285"/>
      <c r="B1802" s="28" t="s">
        <v>1398</v>
      </c>
      <c r="C1802" s="17"/>
      <c r="D1802" s="18"/>
      <c r="E1802" s="23"/>
      <c r="F1802" s="242"/>
      <c r="G1802" s="11"/>
      <c r="H1802" s="68"/>
    </row>
    <row r="1803" spans="1:8" s="9" customFormat="1" x14ac:dyDescent="0.2">
      <c r="A1803" s="285"/>
      <c r="B1803" s="12" t="s">
        <v>1399</v>
      </c>
      <c r="C1803" s="17" t="s">
        <v>33</v>
      </c>
      <c r="D1803" s="42">
        <v>1</v>
      </c>
      <c r="E1803" s="12"/>
      <c r="F1803" s="242">
        <f>D1803*E1803</f>
        <v>0</v>
      </c>
      <c r="G1803" s="11"/>
      <c r="H1803" s="68"/>
    </row>
    <row r="1804" spans="1:8" s="9" customFormat="1" x14ac:dyDescent="0.2">
      <c r="A1804" s="285"/>
      <c r="B1804" s="12"/>
      <c r="C1804" s="17"/>
      <c r="D1804" s="42"/>
      <c r="E1804" s="12"/>
      <c r="F1804" s="242"/>
      <c r="G1804" s="11"/>
      <c r="H1804" s="68"/>
    </row>
    <row r="1805" spans="1:8" s="9" customFormat="1" x14ac:dyDescent="0.2">
      <c r="A1805" s="285" t="s">
        <v>1547</v>
      </c>
      <c r="B1805" s="12" t="s">
        <v>1400</v>
      </c>
      <c r="C1805" s="17"/>
      <c r="D1805" s="18"/>
      <c r="E1805" s="23"/>
      <c r="F1805" s="242"/>
      <c r="G1805" s="11"/>
      <c r="H1805" s="68"/>
    </row>
    <row r="1806" spans="1:8" s="9" customFormat="1" x14ac:dyDescent="0.2">
      <c r="A1806" s="259"/>
      <c r="B1806" s="28" t="s">
        <v>1398</v>
      </c>
      <c r="C1806" s="17"/>
      <c r="D1806" s="18"/>
      <c r="E1806" s="23"/>
      <c r="F1806" s="242"/>
      <c r="G1806" s="11"/>
      <c r="H1806" s="68"/>
    </row>
    <row r="1807" spans="1:8" s="9" customFormat="1" x14ac:dyDescent="0.2">
      <c r="A1807" s="259"/>
      <c r="B1807" s="12" t="s">
        <v>1401</v>
      </c>
      <c r="C1807" s="17" t="s">
        <v>33</v>
      </c>
      <c r="D1807" s="42">
        <v>1</v>
      </c>
      <c r="E1807" s="12"/>
      <c r="F1807" s="242">
        <f>D1807*E1807</f>
        <v>0</v>
      </c>
      <c r="G1807" s="11"/>
      <c r="H1807" s="68"/>
    </row>
    <row r="1808" spans="1:8" s="9" customFormat="1" x14ac:dyDescent="0.2">
      <c r="A1808" s="259"/>
      <c r="B1808" s="12"/>
      <c r="C1808" s="17"/>
      <c r="D1808" s="42"/>
      <c r="E1808" s="23"/>
      <c r="F1808" s="242"/>
      <c r="G1808" s="11"/>
      <c r="H1808" s="68"/>
    </row>
    <row r="1809" spans="1:8" s="9" customFormat="1" ht="15" x14ac:dyDescent="0.2">
      <c r="A1809" s="259" t="s">
        <v>204</v>
      </c>
      <c r="B1809" s="35" t="s">
        <v>1209</v>
      </c>
      <c r="C1809" s="17"/>
      <c r="D1809" s="42"/>
      <c r="E1809" s="23"/>
      <c r="F1809" s="242"/>
      <c r="G1809" s="11"/>
      <c r="H1809" s="68"/>
    </row>
    <row r="1810" spans="1:8" s="9" customFormat="1" x14ac:dyDescent="0.2">
      <c r="A1810" s="259"/>
      <c r="B1810" s="12"/>
      <c r="C1810" s="17"/>
      <c r="D1810" s="42"/>
      <c r="E1810" s="23"/>
      <c r="F1810" s="242"/>
      <c r="G1810" s="11"/>
      <c r="H1810" s="68"/>
    </row>
    <row r="1811" spans="1:8" s="9" customFormat="1" ht="25.5" x14ac:dyDescent="0.2">
      <c r="A1811" s="259"/>
      <c r="B1811" s="34" t="s">
        <v>1402</v>
      </c>
      <c r="C1811" s="17"/>
      <c r="D1811" s="42"/>
      <c r="E1811" s="23"/>
      <c r="F1811" s="242"/>
      <c r="G1811" s="11"/>
      <c r="H1811" s="68"/>
    </row>
    <row r="1812" spans="1:8" s="9" customFormat="1" ht="51" x14ac:dyDescent="0.2">
      <c r="A1812" s="259"/>
      <c r="B1812" s="34" t="s">
        <v>1210</v>
      </c>
      <c r="C1812" s="17"/>
      <c r="D1812" s="42"/>
      <c r="E1812" s="23"/>
      <c r="F1812" s="242"/>
      <c r="G1812" s="11"/>
      <c r="H1812" s="68"/>
    </row>
    <row r="1813" spans="1:8" s="9" customFormat="1" ht="38.25" x14ac:dyDescent="0.2">
      <c r="A1813" s="259"/>
      <c r="B1813" s="34" t="s">
        <v>1211</v>
      </c>
      <c r="C1813" s="17"/>
      <c r="D1813" s="42"/>
      <c r="E1813" s="23"/>
      <c r="F1813" s="242"/>
      <c r="G1813" s="11"/>
      <c r="H1813" s="68"/>
    </row>
    <row r="1814" spans="1:8" s="9" customFormat="1" ht="51" x14ac:dyDescent="0.2">
      <c r="A1814" s="259"/>
      <c r="B1814" s="34" t="s">
        <v>1403</v>
      </c>
      <c r="C1814" s="17"/>
      <c r="D1814" s="42"/>
      <c r="E1814" s="23"/>
      <c r="F1814" s="242"/>
      <c r="G1814" s="11"/>
      <c r="H1814" s="68"/>
    </row>
    <row r="1815" spans="1:8" s="9" customFormat="1" ht="76.5" x14ac:dyDescent="0.2">
      <c r="A1815" s="259"/>
      <c r="B1815" s="34" t="s">
        <v>1213</v>
      </c>
      <c r="C1815" s="17"/>
      <c r="D1815" s="329"/>
      <c r="E1815" s="23"/>
      <c r="F1815" s="242"/>
      <c r="G1815" s="10"/>
      <c r="H1815" s="68"/>
    </row>
    <row r="1816" spans="1:8" s="9" customFormat="1" ht="50.25" customHeight="1" x14ac:dyDescent="0.2">
      <c r="A1816" s="370"/>
      <c r="B1816" s="381" t="s">
        <v>1404</v>
      </c>
      <c r="C1816" s="363"/>
      <c r="D1816" s="399"/>
      <c r="E1816" s="366"/>
      <c r="F1816" s="353"/>
      <c r="G1816" s="10"/>
      <c r="H1816" s="68"/>
    </row>
    <row r="1817" spans="1:8" s="9" customFormat="1" ht="12.75" customHeight="1" x14ac:dyDescent="0.2">
      <c r="A1817" s="259"/>
      <c r="B1817" s="34"/>
      <c r="C1817" s="17"/>
      <c r="D1817" s="329"/>
      <c r="E1817" s="23"/>
      <c r="F1817" s="242"/>
      <c r="G1817" s="10"/>
      <c r="H1817" s="68"/>
    </row>
    <row r="1818" spans="1:8" s="9" customFormat="1" ht="38.25" x14ac:dyDescent="0.2">
      <c r="A1818" s="259"/>
      <c r="B1818" s="34" t="s">
        <v>1212</v>
      </c>
      <c r="C1818" s="17"/>
      <c r="D1818" s="329"/>
      <c r="E1818" s="23"/>
      <c r="F1818" s="242"/>
      <c r="G1818" s="10"/>
      <c r="H1818" s="68"/>
    </row>
    <row r="1819" spans="1:8" s="9" customFormat="1" ht="25.5" x14ac:dyDescent="0.2">
      <c r="A1819" s="259"/>
      <c r="B1819" s="34" t="s">
        <v>136</v>
      </c>
      <c r="C1819" s="17"/>
      <c r="D1819" s="329"/>
      <c r="E1819" s="23"/>
      <c r="F1819" s="242"/>
      <c r="G1819" s="10"/>
      <c r="H1819" s="68"/>
    </row>
    <row r="1820" spans="1:8" s="9" customFormat="1" x14ac:dyDescent="0.2">
      <c r="A1820" s="259"/>
      <c r="B1820" s="28"/>
      <c r="C1820" s="17"/>
      <c r="D1820" s="329"/>
      <c r="E1820" s="23"/>
      <c r="F1820" s="242"/>
      <c r="G1820" s="10"/>
      <c r="H1820" s="68"/>
    </row>
    <row r="1821" spans="1:8" s="9" customFormat="1" x14ac:dyDescent="0.2">
      <c r="A1821" s="285" t="s">
        <v>1656</v>
      </c>
      <c r="B1821" s="20" t="s">
        <v>135</v>
      </c>
      <c r="C1821" s="17"/>
      <c r="D1821" s="329"/>
      <c r="E1821" s="23"/>
      <c r="F1821" s="242"/>
      <c r="G1821" s="10"/>
      <c r="H1821" s="68"/>
    </row>
    <row r="1822" spans="1:8" s="9" customFormat="1" ht="25.5" x14ac:dyDescent="0.2">
      <c r="A1822" s="259"/>
      <c r="B1822" s="28" t="s">
        <v>1405</v>
      </c>
      <c r="C1822" s="17"/>
      <c r="D1822" s="329"/>
      <c r="E1822" s="23"/>
      <c r="F1822" s="242"/>
      <c r="G1822" s="10"/>
      <c r="H1822" s="68"/>
    </row>
    <row r="1823" spans="1:8" s="9" customFormat="1" x14ac:dyDescent="0.2">
      <c r="A1823" s="259"/>
      <c r="B1823" s="20" t="s">
        <v>185</v>
      </c>
      <c r="C1823" s="17" t="s">
        <v>33</v>
      </c>
      <c r="D1823" s="329">
        <v>4</v>
      </c>
      <c r="E1823" s="20"/>
      <c r="F1823" s="242">
        <f>SUM(D1823*E1823)</f>
        <v>0</v>
      </c>
      <c r="G1823" s="10"/>
      <c r="H1823" s="68"/>
    </row>
    <row r="1824" spans="1:8" s="9" customFormat="1" x14ac:dyDescent="0.2">
      <c r="A1824" s="259"/>
      <c r="B1824" s="20"/>
      <c r="C1824" s="17"/>
      <c r="D1824" s="329"/>
      <c r="E1824" s="20"/>
      <c r="F1824" s="242"/>
      <c r="G1824" s="10"/>
      <c r="H1824" s="68"/>
    </row>
    <row r="1825" spans="1:8" s="9" customFormat="1" x14ac:dyDescent="0.2">
      <c r="A1825" s="285" t="s">
        <v>1657</v>
      </c>
      <c r="B1825" s="20" t="s">
        <v>115</v>
      </c>
      <c r="C1825" s="17"/>
      <c r="D1825" s="329"/>
      <c r="E1825" s="23"/>
      <c r="F1825" s="242"/>
      <c r="G1825" s="10"/>
      <c r="H1825" s="68"/>
    </row>
    <row r="1826" spans="1:8" s="9" customFormat="1" ht="25.5" x14ac:dyDescent="0.2">
      <c r="A1826" s="259"/>
      <c r="B1826" s="28" t="s">
        <v>1406</v>
      </c>
      <c r="C1826" s="17"/>
      <c r="D1826" s="329"/>
      <c r="E1826" s="23"/>
      <c r="F1826" s="242"/>
      <c r="G1826" s="10"/>
      <c r="H1826" s="68"/>
    </row>
    <row r="1827" spans="1:8" s="9" customFormat="1" x14ac:dyDescent="0.2">
      <c r="A1827" s="259"/>
      <c r="B1827" s="20" t="s">
        <v>1407</v>
      </c>
      <c r="C1827" s="17" t="s">
        <v>33</v>
      </c>
      <c r="D1827" s="329">
        <v>1</v>
      </c>
      <c r="E1827" s="20"/>
      <c r="F1827" s="242">
        <f>SUM(D1827*E1827)</f>
        <v>0</v>
      </c>
      <c r="G1827" s="10"/>
      <c r="H1827" s="68"/>
    </row>
    <row r="1828" spans="1:8" s="9" customFormat="1" x14ac:dyDescent="0.2">
      <c r="A1828" s="259"/>
      <c r="B1828" s="20"/>
      <c r="C1828" s="17"/>
      <c r="D1828" s="329"/>
      <c r="E1828" s="20"/>
      <c r="F1828" s="242"/>
      <c r="G1828" s="10"/>
      <c r="H1828" s="68"/>
    </row>
    <row r="1829" spans="1:8" s="9" customFormat="1" x14ac:dyDescent="0.2">
      <c r="A1829" s="285" t="s">
        <v>1658</v>
      </c>
      <c r="B1829" s="20" t="s">
        <v>116</v>
      </c>
      <c r="C1829" s="17"/>
      <c r="D1829" s="329"/>
      <c r="E1829" s="23"/>
      <c r="F1829" s="242"/>
      <c r="G1829" s="10"/>
      <c r="H1829" s="68"/>
    </row>
    <row r="1830" spans="1:8" s="9" customFormat="1" x14ac:dyDescent="0.2">
      <c r="A1830" s="259"/>
      <c r="B1830" s="28" t="s">
        <v>1408</v>
      </c>
      <c r="C1830" s="17"/>
      <c r="D1830" s="329"/>
      <c r="E1830" s="23"/>
      <c r="F1830" s="242"/>
      <c r="G1830" s="10"/>
      <c r="H1830" s="68"/>
    </row>
    <row r="1831" spans="1:8" s="9" customFormat="1" x14ac:dyDescent="0.2">
      <c r="A1831" s="259"/>
      <c r="B1831" s="20" t="s">
        <v>1409</v>
      </c>
      <c r="C1831" s="17" t="s">
        <v>33</v>
      </c>
      <c r="D1831" s="329">
        <v>2</v>
      </c>
      <c r="E1831" s="20"/>
      <c r="F1831" s="242">
        <f>SUM(D1831*E1831)</f>
        <v>0</v>
      </c>
      <c r="G1831" s="10"/>
      <c r="H1831" s="68"/>
    </row>
    <row r="1832" spans="1:8" s="9" customFormat="1" x14ac:dyDescent="0.2">
      <c r="A1832" s="259"/>
      <c r="B1832" s="20"/>
      <c r="C1832" s="17"/>
      <c r="D1832" s="329"/>
      <c r="E1832" s="23"/>
      <c r="F1832" s="242"/>
      <c r="G1832" s="10"/>
      <c r="H1832" s="68"/>
    </row>
    <row r="1833" spans="1:8" s="9" customFormat="1" ht="15" x14ac:dyDescent="0.2">
      <c r="A1833" s="259" t="s">
        <v>205</v>
      </c>
      <c r="B1833" s="70" t="s">
        <v>1410</v>
      </c>
      <c r="C1833" s="17"/>
      <c r="D1833" s="312"/>
      <c r="E1833" s="23"/>
      <c r="F1833" s="255"/>
      <c r="G1833" s="10"/>
      <c r="H1833" s="68"/>
    </row>
    <row r="1834" spans="1:8" s="9" customFormat="1" ht="15" x14ac:dyDescent="0.2">
      <c r="A1834" s="259"/>
      <c r="B1834" s="70"/>
      <c r="C1834" s="17"/>
      <c r="D1834" s="312"/>
      <c r="E1834" s="23"/>
      <c r="F1834" s="255"/>
      <c r="G1834" s="10"/>
      <c r="H1834" s="68"/>
    </row>
    <row r="1835" spans="1:8" s="9" customFormat="1" ht="51" x14ac:dyDescent="0.2">
      <c r="A1835" s="259"/>
      <c r="B1835" s="34" t="s">
        <v>546</v>
      </c>
      <c r="C1835" s="17"/>
      <c r="D1835" s="312"/>
      <c r="E1835" s="23"/>
      <c r="F1835" s="255"/>
      <c r="G1835" s="10"/>
      <c r="H1835" s="68"/>
    </row>
    <row r="1836" spans="1:8" s="9" customFormat="1" ht="89.25" x14ac:dyDescent="0.2">
      <c r="A1836" s="284"/>
      <c r="B1836" s="69" t="s">
        <v>1411</v>
      </c>
      <c r="C1836" s="17"/>
      <c r="D1836" s="312"/>
      <c r="E1836" s="23"/>
      <c r="F1836" s="255"/>
      <c r="G1836" s="10"/>
      <c r="H1836" s="68"/>
    </row>
    <row r="1837" spans="1:8" s="9" customFormat="1" ht="51" x14ac:dyDescent="0.2">
      <c r="A1837" s="284"/>
      <c r="B1837" s="69" t="s">
        <v>1214</v>
      </c>
      <c r="C1837" s="17"/>
      <c r="D1837" s="312"/>
      <c r="E1837" s="23"/>
      <c r="F1837" s="255"/>
      <c r="G1837" s="10"/>
      <c r="H1837" s="68"/>
    </row>
    <row r="1838" spans="1:8" s="9" customFormat="1" ht="63.75" x14ac:dyDescent="0.2">
      <c r="A1838" s="284"/>
      <c r="B1838" s="69" t="s">
        <v>1215</v>
      </c>
      <c r="C1838" s="17"/>
      <c r="D1838" s="312"/>
      <c r="E1838" s="23"/>
      <c r="F1838" s="255"/>
      <c r="G1838" s="10"/>
      <c r="H1838" s="68"/>
    </row>
    <row r="1839" spans="1:8" s="9" customFormat="1" ht="63.75" x14ac:dyDescent="0.2">
      <c r="A1839" s="401"/>
      <c r="B1839" s="402" t="s">
        <v>547</v>
      </c>
      <c r="C1839" s="363"/>
      <c r="D1839" s="403"/>
      <c r="E1839" s="366"/>
      <c r="F1839" s="373"/>
      <c r="G1839" s="10"/>
      <c r="H1839" s="68"/>
    </row>
    <row r="1840" spans="1:8" s="9" customFormat="1" x14ac:dyDescent="0.2">
      <c r="A1840" s="284"/>
      <c r="B1840" s="69"/>
      <c r="C1840" s="17"/>
      <c r="D1840" s="312"/>
      <c r="E1840" s="23"/>
      <c r="F1840" s="255"/>
      <c r="G1840" s="10"/>
      <c r="H1840" s="68"/>
    </row>
    <row r="1841" spans="1:8" s="9" customFormat="1" ht="76.5" x14ac:dyDescent="0.2">
      <c r="A1841" s="284"/>
      <c r="B1841" s="34" t="s">
        <v>272</v>
      </c>
      <c r="C1841" s="17"/>
      <c r="D1841" s="312"/>
      <c r="E1841" s="23"/>
      <c r="F1841" s="255"/>
      <c r="G1841" s="10"/>
      <c r="H1841" s="68"/>
    </row>
    <row r="1842" spans="1:8" s="9" customFormat="1" ht="25.5" x14ac:dyDescent="0.2">
      <c r="A1842" s="284"/>
      <c r="B1842" s="21" t="s">
        <v>137</v>
      </c>
      <c r="C1842" s="17"/>
      <c r="D1842" s="312"/>
      <c r="E1842" s="23"/>
      <c r="F1842" s="255"/>
      <c r="G1842" s="10"/>
      <c r="H1842" s="68"/>
    </row>
    <row r="1843" spans="1:8" s="9" customFormat="1" x14ac:dyDescent="0.2">
      <c r="A1843" s="284"/>
      <c r="B1843" s="69"/>
      <c r="C1843" s="17"/>
      <c r="D1843" s="312"/>
      <c r="E1843" s="23"/>
      <c r="F1843" s="255"/>
      <c r="G1843" s="10"/>
      <c r="H1843" s="68"/>
    </row>
    <row r="1844" spans="1:8" s="9" customFormat="1" ht="25.5" x14ac:dyDescent="0.2">
      <c r="A1844" s="284"/>
      <c r="B1844" s="20" t="s">
        <v>1412</v>
      </c>
      <c r="C1844" s="17"/>
      <c r="D1844" s="23"/>
      <c r="E1844" s="23"/>
      <c r="F1844" s="242"/>
      <c r="G1844" s="10"/>
      <c r="H1844" s="68"/>
    </row>
    <row r="1845" spans="1:8" s="9" customFormat="1" x14ac:dyDescent="0.2">
      <c r="A1845" s="284"/>
      <c r="B1845" s="69" t="s">
        <v>1413</v>
      </c>
      <c r="C1845" s="17" t="s">
        <v>40</v>
      </c>
      <c r="D1845" s="52">
        <f>1.4*4</f>
        <v>5.6</v>
      </c>
      <c r="E1845" s="20"/>
      <c r="F1845" s="255">
        <f>SUM(D1845*E1845)</f>
        <v>0</v>
      </c>
      <c r="G1845" s="10"/>
      <c r="H1845" s="68"/>
    </row>
    <row r="1846" spans="1:8" s="9" customFormat="1" x14ac:dyDescent="0.2">
      <c r="A1846" s="284"/>
      <c r="B1846" s="69"/>
      <c r="C1846" s="17"/>
      <c r="D1846" s="52"/>
      <c r="E1846" s="20"/>
      <c r="F1846" s="255"/>
      <c r="G1846" s="10"/>
      <c r="H1846" s="68"/>
    </row>
    <row r="1847" spans="1:8" s="9" customFormat="1" ht="25.5" x14ac:dyDescent="0.2">
      <c r="A1847" s="284"/>
      <c r="B1847" s="20" t="s">
        <v>1414</v>
      </c>
      <c r="C1847" s="17"/>
      <c r="D1847" s="23"/>
      <c r="E1847" s="23"/>
      <c r="F1847" s="242"/>
      <c r="G1847" s="10"/>
      <c r="H1847" s="68"/>
    </row>
    <row r="1848" spans="1:8" s="9" customFormat="1" x14ac:dyDescent="0.2">
      <c r="A1848" s="284"/>
      <c r="B1848" s="69" t="s">
        <v>1415</v>
      </c>
      <c r="C1848" s="17" t="s">
        <v>40</v>
      </c>
      <c r="D1848" s="52">
        <f>1.3*4</f>
        <v>5.2</v>
      </c>
      <c r="E1848" s="20"/>
      <c r="F1848" s="255">
        <f>SUM(D1848*E1848)</f>
        <v>0</v>
      </c>
      <c r="G1848" s="10"/>
      <c r="H1848" s="68"/>
    </row>
    <row r="1849" spans="1:8" s="9" customFormat="1" x14ac:dyDescent="0.2">
      <c r="A1849" s="284"/>
      <c r="B1849" s="69"/>
      <c r="C1849" s="17"/>
      <c r="D1849" s="52"/>
      <c r="E1849" s="20"/>
      <c r="F1849" s="255"/>
      <c r="G1849" s="10"/>
      <c r="H1849" s="68"/>
    </row>
    <row r="1850" spans="1:8" s="9" customFormat="1" ht="25.5" x14ac:dyDescent="0.2">
      <c r="A1850" s="284"/>
      <c r="B1850" s="20" t="s">
        <v>1416</v>
      </c>
      <c r="C1850" s="17"/>
      <c r="D1850" s="23"/>
      <c r="E1850" s="23"/>
      <c r="F1850" s="242"/>
      <c r="G1850" s="10"/>
      <c r="H1850" s="68"/>
    </row>
    <row r="1851" spans="1:8" s="9" customFormat="1" x14ac:dyDescent="0.2">
      <c r="A1851" s="284"/>
      <c r="B1851" s="69" t="s">
        <v>1417</v>
      </c>
      <c r="C1851" s="17" t="s">
        <v>40</v>
      </c>
      <c r="D1851" s="52">
        <f>1.3*1</f>
        <v>1.3</v>
      </c>
      <c r="E1851" s="20"/>
      <c r="F1851" s="255">
        <f>SUM(D1851*E1851)</f>
        <v>0</v>
      </c>
      <c r="G1851" s="10"/>
      <c r="H1851" s="68"/>
    </row>
    <row r="1852" spans="1:8" s="9" customFormat="1" x14ac:dyDescent="0.2">
      <c r="A1852" s="284"/>
      <c r="B1852" s="69"/>
      <c r="C1852" s="17"/>
      <c r="D1852" s="52"/>
      <c r="E1852" s="20"/>
      <c r="F1852" s="255"/>
      <c r="G1852" s="10"/>
      <c r="H1852" s="68"/>
    </row>
    <row r="1853" spans="1:8" s="9" customFormat="1" ht="15" x14ac:dyDescent="0.2">
      <c r="A1853" s="259" t="s">
        <v>206</v>
      </c>
      <c r="B1853" s="70" t="s">
        <v>1418</v>
      </c>
      <c r="C1853" s="17"/>
      <c r="D1853" s="312"/>
      <c r="E1853" s="23"/>
      <c r="F1853" s="255"/>
      <c r="G1853" s="10"/>
      <c r="H1853" s="68"/>
    </row>
    <row r="1854" spans="1:8" s="9" customFormat="1" ht="15" x14ac:dyDescent="0.2">
      <c r="A1854" s="259"/>
      <c r="B1854" s="70"/>
      <c r="C1854" s="17"/>
      <c r="D1854" s="312"/>
      <c r="E1854" s="23"/>
      <c r="F1854" s="255"/>
      <c r="G1854" s="10"/>
      <c r="H1854" s="68"/>
    </row>
    <row r="1855" spans="1:8" s="9" customFormat="1" ht="51" x14ac:dyDescent="0.2">
      <c r="A1855" s="259"/>
      <c r="B1855" s="34" t="s">
        <v>546</v>
      </c>
      <c r="C1855" s="17"/>
      <c r="D1855" s="312"/>
      <c r="E1855" s="23"/>
      <c r="F1855" s="255"/>
      <c r="G1855" s="10"/>
      <c r="H1855" s="68"/>
    </row>
    <row r="1856" spans="1:8" s="9" customFormat="1" ht="89.25" x14ac:dyDescent="0.2">
      <c r="A1856" s="284"/>
      <c r="B1856" s="69" t="s">
        <v>1411</v>
      </c>
      <c r="C1856" s="17"/>
      <c r="D1856" s="312"/>
      <c r="E1856" s="23"/>
      <c r="F1856" s="255"/>
      <c r="G1856" s="10"/>
      <c r="H1856" s="68"/>
    </row>
    <row r="1857" spans="1:8" s="9" customFormat="1" ht="51" x14ac:dyDescent="0.2">
      <c r="A1857" s="284"/>
      <c r="B1857" s="69" t="s">
        <v>1214</v>
      </c>
      <c r="C1857" s="17"/>
      <c r="D1857" s="312"/>
      <c r="E1857" s="23"/>
      <c r="F1857" s="255"/>
      <c r="G1857" s="10"/>
      <c r="H1857" s="68"/>
    </row>
    <row r="1858" spans="1:8" s="9" customFormat="1" ht="63.75" x14ac:dyDescent="0.2">
      <c r="A1858" s="284"/>
      <c r="B1858" s="69" t="s">
        <v>1419</v>
      </c>
      <c r="C1858" s="17"/>
      <c r="D1858" s="312"/>
      <c r="E1858" s="23"/>
      <c r="F1858" s="255"/>
      <c r="G1858" s="10"/>
      <c r="H1858" s="68"/>
    </row>
    <row r="1859" spans="1:8" s="9" customFormat="1" ht="63.75" x14ac:dyDescent="0.2">
      <c r="A1859" s="401"/>
      <c r="B1859" s="402" t="s">
        <v>547</v>
      </c>
      <c r="C1859" s="363"/>
      <c r="D1859" s="403"/>
      <c r="E1859" s="366"/>
      <c r="F1859" s="373"/>
      <c r="G1859" s="10"/>
      <c r="H1859" s="68"/>
    </row>
    <row r="1860" spans="1:8" s="9" customFormat="1" x14ac:dyDescent="0.2">
      <c r="A1860" s="284"/>
      <c r="B1860" s="69"/>
      <c r="C1860" s="17"/>
      <c r="D1860" s="312"/>
      <c r="E1860" s="23"/>
      <c r="F1860" s="255"/>
      <c r="G1860" s="10"/>
      <c r="H1860" s="68"/>
    </row>
    <row r="1861" spans="1:8" s="9" customFormat="1" ht="76.5" x14ac:dyDescent="0.2">
      <c r="A1861" s="284"/>
      <c r="B1861" s="34" t="s">
        <v>272</v>
      </c>
      <c r="C1861" s="17"/>
      <c r="D1861" s="312"/>
      <c r="E1861" s="23"/>
      <c r="F1861" s="255"/>
      <c r="G1861" s="10"/>
      <c r="H1861" s="68"/>
    </row>
    <row r="1862" spans="1:8" s="9" customFormat="1" ht="25.5" x14ac:dyDescent="0.2">
      <c r="A1862" s="284"/>
      <c r="B1862" s="21" t="s">
        <v>137</v>
      </c>
      <c r="C1862" s="17"/>
      <c r="D1862" s="312"/>
      <c r="E1862" s="23"/>
      <c r="F1862" s="255"/>
      <c r="G1862" s="10"/>
      <c r="H1862" s="68"/>
    </row>
    <row r="1863" spans="1:8" s="9" customFormat="1" x14ac:dyDescent="0.2">
      <c r="A1863" s="284"/>
      <c r="B1863" s="69"/>
      <c r="C1863" s="17"/>
      <c r="D1863" s="312"/>
      <c r="E1863" s="23"/>
      <c r="F1863" s="255"/>
      <c r="G1863" s="10"/>
      <c r="H1863" s="68"/>
    </row>
    <row r="1864" spans="1:8" s="9" customFormat="1" ht="25.5" x14ac:dyDescent="0.2">
      <c r="A1864" s="284"/>
      <c r="B1864" s="20" t="s">
        <v>1420</v>
      </c>
      <c r="C1864" s="17"/>
      <c r="D1864" s="23"/>
      <c r="E1864" s="23"/>
      <c r="F1864" s="242"/>
      <c r="G1864" s="10"/>
      <c r="H1864" s="68"/>
    </row>
    <row r="1865" spans="1:8" s="9" customFormat="1" x14ac:dyDescent="0.2">
      <c r="A1865" s="284"/>
      <c r="B1865" s="69" t="s">
        <v>1421</v>
      </c>
      <c r="C1865" s="17" t="s">
        <v>40</v>
      </c>
      <c r="D1865" s="52">
        <f>1.74*1</f>
        <v>1.74</v>
      </c>
      <c r="E1865" s="20"/>
      <c r="F1865" s="255">
        <f>SUM(D1865*E1865)</f>
        <v>0</v>
      </c>
      <c r="G1865" s="10"/>
      <c r="H1865" s="68"/>
    </row>
    <row r="1866" spans="1:8" s="9" customFormat="1" x14ac:dyDescent="0.2">
      <c r="A1866" s="284"/>
      <c r="B1866" s="69"/>
      <c r="C1866" s="17"/>
      <c r="D1866" s="52"/>
      <c r="E1866" s="20"/>
      <c r="F1866" s="255"/>
      <c r="G1866" s="10"/>
      <c r="H1866" s="68"/>
    </row>
    <row r="1867" spans="1:8" s="9" customFormat="1" ht="25.5" x14ac:dyDescent="0.2">
      <c r="A1867" s="284"/>
      <c r="B1867" s="20" t="s">
        <v>1422</v>
      </c>
      <c r="C1867" s="17"/>
      <c r="D1867" s="23"/>
      <c r="E1867" s="23"/>
      <c r="F1867" s="242"/>
      <c r="G1867" s="10"/>
      <c r="H1867" s="68"/>
    </row>
    <row r="1868" spans="1:8" s="9" customFormat="1" x14ac:dyDescent="0.2">
      <c r="A1868" s="284"/>
      <c r="B1868" s="69" t="s">
        <v>1423</v>
      </c>
      <c r="C1868" s="17" t="s">
        <v>40</v>
      </c>
      <c r="D1868" s="52">
        <f>1.74*8</f>
        <v>13.92</v>
      </c>
      <c r="E1868" s="20"/>
      <c r="F1868" s="255">
        <f>SUM(D1868*E1868)</f>
        <v>0</v>
      </c>
      <c r="G1868" s="10"/>
      <c r="H1868" s="68"/>
    </row>
    <row r="1869" spans="1:8" s="9" customFormat="1" x14ac:dyDescent="0.2">
      <c r="A1869" s="284"/>
      <c r="B1869" s="69"/>
      <c r="C1869" s="17"/>
      <c r="D1869" s="52"/>
      <c r="E1869" s="20"/>
      <c r="F1869" s="255"/>
      <c r="G1869" s="10"/>
      <c r="H1869" s="68"/>
    </row>
    <row r="1870" spans="1:8" s="9" customFormat="1" ht="25.5" x14ac:dyDescent="0.2">
      <c r="A1870" s="284"/>
      <c r="B1870" s="20" t="s">
        <v>1424</v>
      </c>
      <c r="C1870" s="17"/>
      <c r="D1870" s="23"/>
      <c r="E1870" s="23"/>
      <c r="F1870" s="242"/>
      <c r="G1870" s="10"/>
      <c r="H1870" s="68"/>
    </row>
    <row r="1871" spans="1:8" s="9" customFormat="1" x14ac:dyDescent="0.2">
      <c r="A1871" s="284"/>
      <c r="B1871" s="69" t="s">
        <v>1425</v>
      </c>
      <c r="C1871" s="17" t="s">
        <v>40</v>
      </c>
      <c r="D1871" s="52">
        <f>0.94*8</f>
        <v>7.52</v>
      </c>
      <c r="E1871" s="20"/>
      <c r="F1871" s="255">
        <f>SUM(D1871*E1871)</f>
        <v>0</v>
      </c>
      <c r="G1871" s="10"/>
      <c r="H1871" s="68"/>
    </row>
    <row r="1872" spans="1:8" s="9" customFormat="1" x14ac:dyDescent="0.2">
      <c r="A1872" s="284"/>
      <c r="B1872" s="69"/>
      <c r="C1872" s="17"/>
      <c r="D1872" s="312"/>
      <c r="E1872" s="23"/>
      <c r="F1872" s="255"/>
      <c r="G1872" s="10"/>
      <c r="H1872" s="68"/>
    </row>
    <row r="1873" spans="1:8" s="9" customFormat="1" ht="15" x14ac:dyDescent="0.2">
      <c r="A1873" s="259" t="s">
        <v>207</v>
      </c>
      <c r="B1873" s="119" t="s">
        <v>548</v>
      </c>
      <c r="C1873" s="17"/>
      <c r="D1873" s="52"/>
      <c r="E1873" s="23"/>
      <c r="F1873" s="255"/>
      <c r="G1873" s="10"/>
      <c r="H1873" s="68"/>
    </row>
    <row r="1874" spans="1:8" s="9" customFormat="1" ht="15" x14ac:dyDescent="0.2">
      <c r="A1874" s="274"/>
      <c r="B1874" s="119"/>
      <c r="C1874" s="17"/>
      <c r="D1874" s="52"/>
      <c r="E1874" s="23"/>
      <c r="F1874" s="255"/>
      <c r="G1874" s="10"/>
      <c r="H1874" s="68"/>
    </row>
    <row r="1875" spans="1:8" s="9" customFormat="1" ht="63.75" x14ac:dyDescent="0.2">
      <c r="A1875" s="259"/>
      <c r="B1875" s="28" t="s">
        <v>549</v>
      </c>
      <c r="C1875" s="17"/>
      <c r="D1875" s="52"/>
      <c r="E1875" s="23"/>
      <c r="F1875" s="255"/>
      <c r="G1875" s="10"/>
      <c r="H1875" s="68"/>
    </row>
    <row r="1876" spans="1:8" s="9" customFormat="1" ht="89.25" x14ac:dyDescent="0.2">
      <c r="A1876" s="284"/>
      <c r="B1876" s="69" t="s">
        <v>1426</v>
      </c>
      <c r="C1876" s="17"/>
      <c r="D1876" s="52"/>
      <c r="E1876" s="23"/>
      <c r="F1876" s="255"/>
      <c r="G1876" s="10"/>
      <c r="H1876" s="68"/>
    </row>
    <row r="1877" spans="1:8" s="9" customFormat="1" ht="51" x14ac:dyDescent="0.2">
      <c r="A1877" s="284"/>
      <c r="B1877" s="69" t="s">
        <v>1214</v>
      </c>
      <c r="C1877" s="17"/>
      <c r="D1877" s="52"/>
      <c r="E1877" s="23"/>
      <c r="F1877" s="255"/>
      <c r="G1877" s="10"/>
      <c r="H1877" s="68"/>
    </row>
    <row r="1878" spans="1:8" s="9" customFormat="1" ht="63.75" x14ac:dyDescent="0.2">
      <c r="A1878" s="284"/>
      <c r="B1878" s="34" t="s">
        <v>1217</v>
      </c>
      <c r="C1878" s="17"/>
      <c r="D1878" s="52"/>
      <c r="E1878" s="23"/>
      <c r="F1878" s="255"/>
      <c r="G1878" s="10"/>
      <c r="H1878" s="68"/>
    </row>
    <row r="1879" spans="1:8" s="9" customFormat="1" ht="63.75" x14ac:dyDescent="0.2">
      <c r="A1879" s="401"/>
      <c r="B1879" s="402" t="s">
        <v>547</v>
      </c>
      <c r="C1879" s="363"/>
      <c r="D1879" s="371"/>
      <c r="E1879" s="366"/>
      <c r="F1879" s="373"/>
      <c r="G1879" s="10"/>
      <c r="H1879" s="68"/>
    </row>
    <row r="1880" spans="1:8" s="9" customFormat="1" x14ac:dyDescent="0.2">
      <c r="A1880" s="284"/>
      <c r="B1880" s="69"/>
      <c r="C1880" s="17"/>
      <c r="D1880" s="52"/>
      <c r="E1880" s="23"/>
      <c r="F1880" s="255"/>
      <c r="G1880" s="10"/>
      <c r="H1880" s="68"/>
    </row>
    <row r="1881" spans="1:8" s="9" customFormat="1" ht="76.5" x14ac:dyDescent="0.2">
      <c r="A1881" s="284"/>
      <c r="B1881" s="34" t="s">
        <v>272</v>
      </c>
      <c r="C1881" s="17"/>
      <c r="D1881" s="52"/>
      <c r="E1881" s="23"/>
      <c r="F1881" s="255"/>
      <c r="G1881" s="10"/>
      <c r="H1881" s="68"/>
    </row>
    <row r="1882" spans="1:8" s="9" customFormat="1" ht="25.5" x14ac:dyDescent="0.2">
      <c r="A1882" s="284"/>
      <c r="B1882" s="21" t="s">
        <v>137</v>
      </c>
      <c r="C1882" s="17"/>
      <c r="D1882" s="52"/>
      <c r="E1882" s="23"/>
      <c r="F1882" s="255"/>
      <c r="G1882" s="10"/>
      <c r="H1882" s="68"/>
    </row>
    <row r="1883" spans="1:8" s="9" customFormat="1" x14ac:dyDescent="0.2">
      <c r="A1883" s="284"/>
      <c r="B1883" s="21"/>
      <c r="C1883" s="17"/>
      <c r="D1883" s="52"/>
      <c r="E1883" s="23"/>
      <c r="F1883" s="255"/>
      <c r="G1883" s="10"/>
      <c r="H1883" s="68"/>
    </row>
    <row r="1884" spans="1:8" s="9" customFormat="1" ht="25.5" x14ac:dyDescent="0.2">
      <c r="A1884" s="308" t="s">
        <v>1548</v>
      </c>
      <c r="B1884" s="20" t="s">
        <v>1427</v>
      </c>
      <c r="C1884" s="17"/>
      <c r="D1884" s="23"/>
      <c r="E1884" s="23"/>
      <c r="F1884" s="242"/>
      <c r="G1884" s="10"/>
      <c r="H1884" s="68"/>
    </row>
    <row r="1885" spans="1:8" s="9" customFormat="1" x14ac:dyDescent="0.2">
      <c r="A1885" s="284"/>
      <c r="B1885" s="24" t="s">
        <v>1428</v>
      </c>
      <c r="C1885" s="17" t="s">
        <v>40</v>
      </c>
      <c r="D1885" s="52">
        <f>(1.3*2+2.9)*17</f>
        <v>93.5</v>
      </c>
      <c r="E1885" s="20"/>
      <c r="F1885" s="255">
        <f>SUM(D1885*E1885)</f>
        <v>0</v>
      </c>
      <c r="G1885" s="10"/>
      <c r="H1885" s="68"/>
    </row>
    <row r="1886" spans="1:8" s="9" customFormat="1" x14ac:dyDescent="0.2">
      <c r="A1886" s="284"/>
      <c r="B1886" s="69"/>
      <c r="C1886" s="17"/>
      <c r="D1886" s="52"/>
      <c r="E1886" s="23"/>
      <c r="F1886" s="255"/>
      <c r="G1886" s="10"/>
      <c r="H1886" s="68"/>
    </row>
    <row r="1887" spans="1:8" s="9" customFormat="1" ht="25.5" x14ac:dyDescent="0.2">
      <c r="A1887" s="308" t="s">
        <v>1549</v>
      </c>
      <c r="B1887" s="20" t="s">
        <v>1429</v>
      </c>
      <c r="C1887" s="17"/>
      <c r="D1887" s="23"/>
      <c r="E1887" s="23"/>
      <c r="F1887" s="242"/>
      <c r="G1887" s="10"/>
      <c r="H1887" s="68"/>
    </row>
    <row r="1888" spans="1:8" s="9" customFormat="1" x14ac:dyDescent="0.2">
      <c r="A1888" s="284"/>
      <c r="B1888" s="24" t="s">
        <v>1430</v>
      </c>
      <c r="C1888" s="17" t="s">
        <v>40</v>
      </c>
      <c r="D1888" s="52">
        <f>(0.37*2+2.9)*3</f>
        <v>10.919999999999998</v>
      </c>
      <c r="E1888" s="20"/>
      <c r="F1888" s="255">
        <f>SUM(D1888*E1888)</f>
        <v>0</v>
      </c>
      <c r="G1888" s="10"/>
      <c r="H1888" s="68"/>
    </row>
    <row r="1889" spans="1:8" s="9" customFormat="1" x14ac:dyDescent="0.2">
      <c r="A1889" s="284"/>
      <c r="B1889" s="69"/>
      <c r="C1889" s="17"/>
      <c r="D1889" s="52"/>
      <c r="E1889" s="23"/>
      <c r="F1889" s="255"/>
      <c r="G1889" s="10"/>
      <c r="H1889" s="68"/>
    </row>
    <row r="1890" spans="1:8" s="9" customFormat="1" ht="25.5" x14ac:dyDescent="0.2">
      <c r="A1890" s="308" t="s">
        <v>1550</v>
      </c>
      <c r="B1890" s="20" t="s">
        <v>1431</v>
      </c>
      <c r="C1890" s="17"/>
      <c r="D1890" s="23"/>
      <c r="E1890" s="23"/>
      <c r="F1890" s="242"/>
      <c r="G1890" s="10"/>
      <c r="H1890" s="68"/>
    </row>
    <row r="1891" spans="1:8" s="9" customFormat="1" x14ac:dyDescent="0.2">
      <c r="A1891" s="284"/>
      <c r="B1891" s="24" t="s">
        <v>1432</v>
      </c>
      <c r="C1891" s="17" t="s">
        <v>40</v>
      </c>
      <c r="D1891" s="52">
        <f>1.3*16</f>
        <v>20.8</v>
      </c>
      <c r="E1891" s="20"/>
      <c r="F1891" s="255">
        <f>SUM(D1891*E1891)</f>
        <v>0</v>
      </c>
      <c r="G1891" s="10"/>
      <c r="H1891" s="68"/>
    </row>
    <row r="1892" spans="1:8" s="9" customFormat="1" x14ac:dyDescent="0.2">
      <c r="A1892" s="284"/>
      <c r="B1892" s="69"/>
      <c r="C1892" s="17"/>
      <c r="D1892" s="52"/>
      <c r="E1892" s="23"/>
      <c r="F1892" s="255"/>
      <c r="G1892" s="10"/>
      <c r="H1892" s="68"/>
    </row>
    <row r="1893" spans="1:8" s="9" customFormat="1" ht="25.5" x14ac:dyDescent="0.2">
      <c r="A1893" s="308" t="s">
        <v>1551</v>
      </c>
      <c r="B1893" s="20" t="s">
        <v>1433</v>
      </c>
      <c r="C1893" s="17"/>
      <c r="D1893" s="23"/>
      <c r="E1893" s="23"/>
      <c r="F1893" s="242"/>
      <c r="G1893" s="10"/>
      <c r="H1893" s="68"/>
    </row>
    <row r="1894" spans="1:8" s="9" customFormat="1" x14ac:dyDescent="0.2">
      <c r="A1894" s="284"/>
      <c r="B1894" s="24" t="s">
        <v>1434</v>
      </c>
      <c r="C1894" s="17" t="s">
        <v>40</v>
      </c>
      <c r="D1894" s="52">
        <f>1.03*8</f>
        <v>8.24</v>
      </c>
      <c r="E1894" s="20"/>
      <c r="F1894" s="255">
        <f>SUM(D1894*E1894)</f>
        <v>0</v>
      </c>
      <c r="G1894" s="10"/>
      <c r="H1894" s="68"/>
    </row>
    <row r="1895" spans="1:8" s="9" customFormat="1" x14ac:dyDescent="0.2">
      <c r="A1895" s="284"/>
      <c r="B1895" s="24"/>
      <c r="C1895" s="17"/>
      <c r="D1895" s="52"/>
      <c r="E1895" s="20"/>
      <c r="F1895" s="255"/>
      <c r="G1895" s="10"/>
      <c r="H1895" s="68"/>
    </row>
    <row r="1896" spans="1:8" s="9" customFormat="1" ht="25.5" x14ac:dyDescent="0.2">
      <c r="A1896" s="308" t="s">
        <v>1659</v>
      </c>
      <c r="B1896" s="20" t="s">
        <v>1435</v>
      </c>
      <c r="C1896" s="17"/>
      <c r="D1896" s="23"/>
      <c r="E1896" s="23"/>
      <c r="F1896" s="242"/>
      <c r="G1896" s="10"/>
      <c r="H1896" s="68"/>
    </row>
    <row r="1897" spans="1:8" s="9" customFormat="1" x14ac:dyDescent="0.2">
      <c r="A1897" s="284"/>
      <c r="B1897" s="24" t="s">
        <v>1436</v>
      </c>
      <c r="C1897" s="17" t="s">
        <v>40</v>
      </c>
      <c r="D1897" s="52">
        <f>1.16*1</f>
        <v>1.1599999999999999</v>
      </c>
      <c r="E1897" s="20"/>
      <c r="F1897" s="255">
        <f>SUM(D1897*E1897)</f>
        <v>0</v>
      </c>
      <c r="G1897" s="10"/>
      <c r="H1897" s="68"/>
    </row>
    <row r="1898" spans="1:8" s="9" customFormat="1" x14ac:dyDescent="0.2">
      <c r="A1898" s="284"/>
      <c r="B1898" s="69"/>
      <c r="C1898" s="17"/>
      <c r="D1898" s="52"/>
      <c r="E1898" s="23"/>
      <c r="F1898" s="255"/>
      <c r="G1898" s="10"/>
      <c r="H1898" s="68"/>
    </row>
    <row r="1899" spans="1:8" s="9" customFormat="1" ht="25.5" x14ac:dyDescent="0.2">
      <c r="A1899" s="308" t="s">
        <v>1660</v>
      </c>
      <c r="B1899" s="20" t="s">
        <v>1437</v>
      </c>
      <c r="C1899" s="17"/>
      <c r="D1899" s="23"/>
      <c r="E1899" s="23"/>
      <c r="F1899" s="242"/>
      <c r="G1899" s="10"/>
      <c r="H1899" s="68"/>
    </row>
    <row r="1900" spans="1:8" s="9" customFormat="1" x14ac:dyDescent="0.2">
      <c r="A1900" s="284"/>
      <c r="B1900" s="24" t="s">
        <v>1438</v>
      </c>
      <c r="C1900" s="17" t="s">
        <v>40</v>
      </c>
      <c r="D1900" s="52">
        <f>2.73*10</f>
        <v>27.3</v>
      </c>
      <c r="E1900" s="20"/>
      <c r="F1900" s="255">
        <f>SUM(D1900*E1900)</f>
        <v>0</v>
      </c>
      <c r="G1900" s="10"/>
      <c r="H1900" s="68"/>
    </row>
    <row r="1901" spans="1:8" s="9" customFormat="1" x14ac:dyDescent="0.2">
      <c r="A1901" s="284"/>
      <c r="B1901" s="24"/>
      <c r="C1901" s="17"/>
      <c r="D1901" s="52"/>
      <c r="E1901" s="20"/>
      <c r="F1901" s="255"/>
      <c r="G1901" s="10"/>
      <c r="H1901" s="68"/>
    </row>
    <row r="1902" spans="1:8" s="9" customFormat="1" ht="25.5" x14ac:dyDescent="0.2">
      <c r="A1902" s="308" t="s">
        <v>1661</v>
      </c>
      <c r="B1902" s="20" t="s">
        <v>1439</v>
      </c>
      <c r="C1902" s="17"/>
      <c r="D1902" s="23"/>
      <c r="E1902" s="23"/>
      <c r="F1902" s="242"/>
      <c r="G1902" s="10"/>
      <c r="H1902" s="68"/>
    </row>
    <row r="1903" spans="1:8" s="9" customFormat="1" x14ac:dyDescent="0.2">
      <c r="A1903" s="284"/>
      <c r="B1903" s="24" t="s">
        <v>1440</v>
      </c>
      <c r="C1903" s="17" t="s">
        <v>40</v>
      </c>
      <c r="D1903" s="52">
        <f>1.2*4</f>
        <v>4.8</v>
      </c>
      <c r="E1903" s="20"/>
      <c r="F1903" s="255">
        <f>SUM(D1903*E1903)</f>
        <v>0</v>
      </c>
      <c r="G1903" s="10"/>
      <c r="H1903" s="68"/>
    </row>
    <row r="1904" spans="1:8" s="9" customFormat="1" x14ac:dyDescent="0.2">
      <c r="A1904" s="284"/>
      <c r="B1904" s="24"/>
      <c r="C1904" s="17"/>
      <c r="D1904" s="52"/>
      <c r="E1904" s="20"/>
      <c r="F1904" s="255"/>
      <c r="G1904" s="10"/>
      <c r="H1904" s="68"/>
    </row>
    <row r="1905" spans="1:8" s="9" customFormat="1" ht="25.5" x14ac:dyDescent="0.2">
      <c r="A1905" s="308" t="s">
        <v>1662</v>
      </c>
      <c r="B1905" s="20" t="s">
        <v>1441</v>
      </c>
      <c r="C1905" s="17"/>
      <c r="D1905" s="23"/>
      <c r="E1905" s="23"/>
      <c r="F1905" s="242"/>
      <c r="G1905" s="10"/>
      <c r="H1905" s="68"/>
    </row>
    <row r="1906" spans="1:8" s="9" customFormat="1" x14ac:dyDescent="0.2">
      <c r="A1906" s="284"/>
      <c r="B1906" s="24" t="s">
        <v>1442</v>
      </c>
      <c r="C1906" s="17" t="s">
        <v>40</v>
      </c>
      <c r="D1906" s="52">
        <f>(1.83+1.05)*4</f>
        <v>11.52</v>
      </c>
      <c r="E1906" s="20"/>
      <c r="F1906" s="255">
        <f>SUM(D1906*E1906)</f>
        <v>0</v>
      </c>
      <c r="G1906" s="10"/>
      <c r="H1906" s="68"/>
    </row>
    <row r="1907" spans="1:8" s="9" customFormat="1" x14ac:dyDescent="0.2">
      <c r="A1907" s="284"/>
      <c r="B1907" s="24"/>
      <c r="C1907" s="17"/>
      <c r="D1907" s="52"/>
      <c r="E1907" s="20"/>
      <c r="F1907" s="255"/>
      <c r="G1907" s="10"/>
      <c r="H1907" s="68"/>
    </row>
    <row r="1908" spans="1:8" s="9" customFormat="1" ht="25.5" x14ac:dyDescent="0.2">
      <c r="A1908" s="308" t="s">
        <v>1663</v>
      </c>
      <c r="B1908" s="20" t="s">
        <v>1443</v>
      </c>
      <c r="C1908" s="17"/>
      <c r="D1908" s="23"/>
      <c r="E1908" s="23"/>
      <c r="F1908" s="242"/>
      <c r="G1908" s="10"/>
      <c r="H1908" s="68"/>
    </row>
    <row r="1909" spans="1:8" s="9" customFormat="1" x14ac:dyDescent="0.2">
      <c r="A1909" s="284"/>
      <c r="B1909" s="24" t="s">
        <v>1444</v>
      </c>
      <c r="C1909" s="17" t="s">
        <v>40</v>
      </c>
      <c r="D1909" s="52">
        <f>(1.91+1.05)*5</f>
        <v>14.8</v>
      </c>
      <c r="E1909" s="20"/>
      <c r="F1909" s="255">
        <f>SUM(D1909*E1909)</f>
        <v>0</v>
      </c>
      <c r="G1909" s="10"/>
      <c r="H1909" s="68"/>
    </row>
    <row r="1910" spans="1:8" s="9" customFormat="1" x14ac:dyDescent="0.2">
      <c r="A1910" s="284"/>
      <c r="B1910" s="24"/>
      <c r="C1910" s="17"/>
      <c r="D1910" s="52"/>
      <c r="E1910" s="20"/>
      <c r="F1910" s="255"/>
      <c r="G1910" s="10"/>
      <c r="H1910" s="68"/>
    </row>
    <row r="1911" spans="1:8" s="9" customFormat="1" ht="25.5" x14ac:dyDescent="0.2">
      <c r="A1911" s="308" t="s">
        <v>1664</v>
      </c>
      <c r="B1911" s="20" t="s">
        <v>1445</v>
      </c>
      <c r="C1911" s="17"/>
      <c r="D1911" s="23"/>
      <c r="E1911" s="23"/>
      <c r="F1911" s="242"/>
      <c r="G1911" s="10"/>
      <c r="H1911" s="68"/>
    </row>
    <row r="1912" spans="1:8" s="9" customFormat="1" x14ac:dyDescent="0.2">
      <c r="A1912" s="284"/>
      <c r="B1912" s="24" t="s">
        <v>1446</v>
      </c>
      <c r="C1912" s="17" t="s">
        <v>40</v>
      </c>
      <c r="D1912" s="52">
        <f>1.63*4</f>
        <v>6.52</v>
      </c>
      <c r="E1912" s="20"/>
      <c r="F1912" s="255">
        <f>SUM(D1912*E1912)</f>
        <v>0</v>
      </c>
      <c r="G1912" s="10"/>
      <c r="H1912" s="68"/>
    </row>
    <row r="1913" spans="1:8" s="9" customFormat="1" x14ac:dyDescent="0.2">
      <c r="A1913" s="284"/>
      <c r="B1913" s="24"/>
      <c r="C1913" s="17"/>
      <c r="D1913" s="52"/>
      <c r="E1913" s="20"/>
      <c r="F1913" s="255"/>
      <c r="G1913" s="10"/>
      <c r="H1913" s="68"/>
    </row>
    <row r="1914" spans="1:8" s="9" customFormat="1" ht="25.5" x14ac:dyDescent="0.2">
      <c r="A1914" s="308" t="s">
        <v>1665</v>
      </c>
      <c r="B1914" s="20" t="s">
        <v>1447</v>
      </c>
      <c r="C1914" s="17"/>
      <c r="D1914" s="23"/>
      <c r="E1914" s="23"/>
      <c r="F1914" s="242"/>
      <c r="G1914" s="10"/>
      <c r="H1914" s="68"/>
    </row>
    <row r="1915" spans="1:8" s="9" customFormat="1" x14ac:dyDescent="0.2">
      <c r="A1915" s="401"/>
      <c r="B1915" s="380" t="s">
        <v>1448</v>
      </c>
      <c r="C1915" s="363" t="s">
        <v>40</v>
      </c>
      <c r="D1915" s="371">
        <f>1.56*1</f>
        <v>1.56</v>
      </c>
      <c r="E1915" s="352"/>
      <c r="F1915" s="373">
        <f>SUM(D1915*E1915)</f>
        <v>0</v>
      </c>
      <c r="G1915" s="10"/>
      <c r="H1915" s="68"/>
    </row>
    <row r="1916" spans="1:8" s="9" customFormat="1" x14ac:dyDescent="0.2">
      <c r="A1916" s="284"/>
      <c r="B1916" s="24"/>
      <c r="C1916" s="17"/>
      <c r="D1916" s="52"/>
      <c r="E1916" s="20"/>
      <c r="F1916" s="255"/>
      <c r="G1916" s="10"/>
      <c r="H1916" s="68"/>
    </row>
    <row r="1917" spans="1:8" s="9" customFormat="1" ht="25.5" x14ac:dyDescent="0.2">
      <c r="A1917" s="308" t="s">
        <v>1666</v>
      </c>
      <c r="B1917" s="20" t="s">
        <v>1449</v>
      </c>
      <c r="C1917" s="17"/>
      <c r="D1917" s="23"/>
      <c r="E1917" s="23"/>
      <c r="F1917" s="242"/>
      <c r="G1917" s="10"/>
      <c r="H1917" s="68"/>
    </row>
    <row r="1918" spans="1:8" s="9" customFormat="1" x14ac:dyDescent="0.2">
      <c r="A1918" s="284"/>
      <c r="B1918" s="24" t="s">
        <v>1450</v>
      </c>
      <c r="C1918" s="17" t="s">
        <v>40</v>
      </c>
      <c r="D1918" s="52">
        <f>0.37*1</f>
        <v>0.37</v>
      </c>
      <c r="E1918" s="20"/>
      <c r="F1918" s="255">
        <f>SUM(D1918*E1918)</f>
        <v>0</v>
      </c>
      <c r="G1918" s="10"/>
      <c r="H1918" s="68"/>
    </row>
    <row r="1919" spans="1:8" s="9" customFormat="1" x14ac:dyDescent="0.2">
      <c r="A1919" s="284"/>
      <c r="B1919" s="24"/>
      <c r="C1919" s="17"/>
      <c r="D1919" s="52"/>
      <c r="E1919" s="20"/>
      <c r="F1919" s="255"/>
      <c r="G1919" s="10"/>
      <c r="H1919" s="68"/>
    </row>
    <row r="1920" spans="1:8" s="9" customFormat="1" ht="25.5" x14ac:dyDescent="0.2">
      <c r="A1920" s="308" t="s">
        <v>1667</v>
      </c>
      <c r="B1920" s="20" t="s">
        <v>1451</v>
      </c>
      <c r="C1920" s="17"/>
      <c r="D1920" s="23"/>
      <c r="E1920" s="23"/>
      <c r="F1920" s="242"/>
      <c r="G1920" s="10"/>
      <c r="H1920" s="68"/>
    </row>
    <row r="1921" spans="1:8" s="9" customFormat="1" x14ac:dyDescent="0.2">
      <c r="A1921" s="284"/>
      <c r="B1921" s="24" t="s">
        <v>1452</v>
      </c>
      <c r="C1921" s="17" t="s">
        <v>40</v>
      </c>
      <c r="D1921" s="52">
        <f>(0.37+2.9+1.3)*1</f>
        <v>4.57</v>
      </c>
      <c r="E1921" s="20"/>
      <c r="F1921" s="255">
        <f>SUM(D1921*E1921)</f>
        <v>0</v>
      </c>
      <c r="G1921" s="10"/>
      <c r="H1921" s="68"/>
    </row>
    <row r="1922" spans="1:8" s="9" customFormat="1" x14ac:dyDescent="0.2">
      <c r="A1922" s="284"/>
      <c r="B1922" s="24"/>
      <c r="C1922" s="17"/>
      <c r="D1922" s="52"/>
      <c r="E1922" s="20"/>
      <c r="F1922" s="255"/>
      <c r="G1922" s="10"/>
      <c r="H1922" s="68"/>
    </row>
    <row r="1923" spans="1:8" s="9" customFormat="1" ht="25.5" x14ac:dyDescent="0.2">
      <c r="A1923" s="308" t="s">
        <v>1668</v>
      </c>
      <c r="B1923" s="20" t="s">
        <v>1453</v>
      </c>
      <c r="C1923" s="17"/>
      <c r="D1923" s="23"/>
      <c r="E1923" s="23"/>
      <c r="F1923" s="242"/>
      <c r="G1923" s="10"/>
      <c r="H1923" s="68"/>
    </row>
    <row r="1924" spans="1:8" s="9" customFormat="1" x14ac:dyDescent="0.2">
      <c r="A1924" s="284"/>
      <c r="B1924" s="24" t="s">
        <v>1454</v>
      </c>
      <c r="C1924" s="17" t="s">
        <v>40</v>
      </c>
      <c r="D1924" s="52">
        <f>(1.76+1.05)*1</f>
        <v>2.81</v>
      </c>
      <c r="E1924" s="20"/>
      <c r="F1924" s="255">
        <f>SUM(D1924*E1924)</f>
        <v>0</v>
      </c>
      <c r="G1924" s="10"/>
      <c r="H1924" s="68"/>
    </row>
    <row r="1925" spans="1:8" s="9" customFormat="1" x14ac:dyDescent="0.2">
      <c r="A1925" s="284"/>
      <c r="B1925" s="24"/>
      <c r="C1925" s="17"/>
      <c r="D1925" s="52"/>
      <c r="E1925" s="20"/>
      <c r="F1925" s="255"/>
      <c r="G1925" s="10"/>
      <c r="H1925" s="68"/>
    </row>
    <row r="1926" spans="1:8" s="9" customFormat="1" ht="15" x14ac:dyDescent="0.2">
      <c r="A1926" s="259" t="s">
        <v>208</v>
      </c>
      <c r="B1926" s="119" t="s">
        <v>1455</v>
      </c>
      <c r="C1926" s="17"/>
      <c r="D1926" s="52"/>
      <c r="E1926" s="23"/>
      <c r="F1926" s="255"/>
      <c r="G1926" s="10"/>
      <c r="H1926" s="68"/>
    </row>
    <row r="1927" spans="1:8" s="9" customFormat="1" x14ac:dyDescent="0.2">
      <c r="A1927" s="284"/>
      <c r="B1927" s="24"/>
      <c r="C1927" s="17"/>
      <c r="D1927" s="52"/>
      <c r="E1927" s="20"/>
      <c r="F1927" s="255"/>
      <c r="G1927" s="10"/>
      <c r="H1927" s="68"/>
    </row>
    <row r="1928" spans="1:8" s="9" customFormat="1" ht="63.75" x14ac:dyDescent="0.2">
      <c r="A1928" s="259"/>
      <c r="B1928" s="28" t="s">
        <v>1456</v>
      </c>
      <c r="C1928" s="17"/>
      <c r="D1928" s="52"/>
      <c r="E1928" s="23"/>
      <c r="F1928" s="255"/>
      <c r="G1928" s="10"/>
      <c r="H1928" s="68"/>
    </row>
    <row r="1929" spans="1:8" s="9" customFormat="1" ht="38.25" x14ac:dyDescent="0.2">
      <c r="A1929" s="259"/>
      <c r="B1929" s="28" t="s">
        <v>1457</v>
      </c>
      <c r="C1929" s="17"/>
      <c r="D1929" s="52"/>
      <c r="E1929" s="23"/>
      <c r="F1929" s="255"/>
      <c r="G1929" s="10"/>
      <c r="H1929" s="68"/>
    </row>
    <row r="1930" spans="1:8" s="9" customFormat="1" ht="89.25" x14ac:dyDescent="0.2">
      <c r="A1930" s="284"/>
      <c r="B1930" s="69" t="s">
        <v>1426</v>
      </c>
      <c r="C1930" s="17"/>
      <c r="D1930" s="52"/>
      <c r="E1930" s="23"/>
      <c r="F1930" s="255"/>
      <c r="G1930" s="10"/>
      <c r="H1930" s="68"/>
    </row>
    <row r="1931" spans="1:8" s="9" customFormat="1" ht="51" x14ac:dyDescent="0.2">
      <c r="A1931" s="284"/>
      <c r="B1931" s="69" t="s">
        <v>1214</v>
      </c>
      <c r="C1931" s="17"/>
      <c r="D1931" s="52"/>
      <c r="E1931" s="23"/>
      <c r="F1931" s="255"/>
      <c r="G1931" s="10"/>
      <c r="H1931" s="68"/>
    </row>
    <row r="1932" spans="1:8" s="9" customFormat="1" ht="102" x14ac:dyDescent="0.2">
      <c r="A1932" s="284"/>
      <c r="B1932" s="69" t="s">
        <v>1458</v>
      </c>
      <c r="C1932" s="17"/>
      <c r="D1932" s="52"/>
      <c r="E1932" s="23"/>
      <c r="F1932" s="255"/>
      <c r="G1932" s="10"/>
      <c r="H1932" s="68"/>
    </row>
    <row r="1933" spans="1:8" s="9" customFormat="1" ht="76.5" x14ac:dyDescent="0.2">
      <c r="A1933" s="284"/>
      <c r="B1933" s="34" t="s">
        <v>272</v>
      </c>
      <c r="C1933" s="17"/>
      <c r="D1933" s="52"/>
      <c r="E1933" s="23"/>
      <c r="F1933" s="255"/>
      <c r="G1933" s="10"/>
      <c r="H1933" s="68"/>
    </row>
    <row r="1934" spans="1:8" s="9" customFormat="1" ht="25.5" x14ac:dyDescent="0.2">
      <c r="A1934" s="370"/>
      <c r="B1934" s="381" t="s">
        <v>136</v>
      </c>
      <c r="C1934" s="363"/>
      <c r="D1934" s="399"/>
      <c r="E1934" s="366"/>
      <c r="F1934" s="353"/>
      <c r="G1934" s="10"/>
      <c r="H1934" s="68"/>
    </row>
    <row r="1935" spans="1:8" s="9" customFormat="1" x14ac:dyDescent="0.2">
      <c r="A1935" s="259"/>
      <c r="B1935" s="34"/>
      <c r="C1935" s="17"/>
      <c r="D1935" s="329"/>
      <c r="E1935" s="23"/>
      <c r="F1935" s="242"/>
      <c r="G1935" s="10"/>
      <c r="H1935" s="68"/>
    </row>
    <row r="1936" spans="1:8" s="9" customFormat="1" x14ac:dyDescent="0.2">
      <c r="A1936" s="285" t="s">
        <v>1669</v>
      </c>
      <c r="B1936" s="20" t="s">
        <v>1459</v>
      </c>
      <c r="C1936" s="17"/>
      <c r="D1936" s="329"/>
      <c r="E1936" s="23"/>
      <c r="F1936" s="242"/>
      <c r="G1936" s="10"/>
      <c r="H1936" s="68"/>
    </row>
    <row r="1937" spans="1:8" s="9" customFormat="1" ht="25.5" x14ac:dyDescent="0.2">
      <c r="A1937" s="259"/>
      <c r="B1937" s="28" t="s">
        <v>1455</v>
      </c>
      <c r="C1937" s="17"/>
      <c r="D1937" s="329"/>
      <c r="E1937" s="23"/>
      <c r="F1937" s="242"/>
      <c r="G1937" s="10"/>
      <c r="H1937" s="68"/>
    </row>
    <row r="1938" spans="1:8" s="9" customFormat="1" x14ac:dyDescent="0.2">
      <c r="A1938" s="259"/>
      <c r="B1938" s="20" t="s">
        <v>1460</v>
      </c>
      <c r="C1938" s="17" t="s">
        <v>33</v>
      </c>
      <c r="D1938" s="329">
        <v>11</v>
      </c>
      <c r="E1938" s="20"/>
      <c r="F1938" s="242">
        <f>SUM(D1938*E1938)</f>
        <v>0</v>
      </c>
      <c r="G1938" s="10"/>
      <c r="H1938" s="68"/>
    </row>
    <row r="1939" spans="1:8" s="9" customFormat="1" x14ac:dyDescent="0.2">
      <c r="A1939" s="259"/>
      <c r="B1939" s="20"/>
      <c r="C1939" s="17"/>
      <c r="D1939" s="329"/>
      <c r="E1939" s="20"/>
      <c r="F1939" s="242"/>
      <c r="G1939" s="10"/>
      <c r="H1939" s="68"/>
    </row>
    <row r="1940" spans="1:8" s="9" customFormat="1" x14ac:dyDescent="0.2">
      <c r="A1940" s="285" t="s">
        <v>1670</v>
      </c>
      <c r="B1940" s="20" t="s">
        <v>1461</v>
      </c>
      <c r="C1940" s="17"/>
      <c r="D1940" s="329"/>
      <c r="E1940" s="23"/>
      <c r="F1940" s="242"/>
      <c r="G1940" s="10"/>
      <c r="H1940" s="68"/>
    </row>
    <row r="1941" spans="1:8" s="9" customFormat="1" ht="25.5" x14ac:dyDescent="0.2">
      <c r="A1941" s="259"/>
      <c r="B1941" s="28" t="s">
        <v>1455</v>
      </c>
      <c r="C1941" s="17"/>
      <c r="D1941" s="329"/>
      <c r="E1941" s="23"/>
      <c r="F1941" s="242"/>
      <c r="G1941" s="10"/>
      <c r="H1941" s="68"/>
    </row>
    <row r="1942" spans="1:8" s="9" customFormat="1" x14ac:dyDescent="0.2">
      <c r="A1942" s="259"/>
      <c r="B1942" s="20" t="s">
        <v>1462</v>
      </c>
      <c r="C1942" s="17" t="s">
        <v>33</v>
      </c>
      <c r="D1942" s="329">
        <v>4</v>
      </c>
      <c r="E1942" s="20"/>
      <c r="F1942" s="242">
        <f>SUM(D1942*E1942)</f>
        <v>0</v>
      </c>
      <c r="G1942" s="10"/>
      <c r="H1942" s="68"/>
    </row>
    <row r="1943" spans="1:8" s="9" customFormat="1" x14ac:dyDescent="0.2">
      <c r="A1943" s="259"/>
      <c r="B1943" s="20"/>
      <c r="C1943" s="17"/>
      <c r="D1943" s="329"/>
      <c r="E1943" s="20"/>
      <c r="F1943" s="242"/>
      <c r="G1943" s="10"/>
      <c r="H1943" s="68"/>
    </row>
    <row r="1944" spans="1:8" s="9" customFormat="1" x14ac:dyDescent="0.2">
      <c r="A1944" s="285" t="s">
        <v>1671</v>
      </c>
      <c r="B1944" s="20" t="s">
        <v>1463</v>
      </c>
      <c r="C1944" s="17"/>
      <c r="D1944" s="329"/>
      <c r="E1944" s="23"/>
      <c r="F1944" s="242"/>
      <c r="G1944" s="10"/>
      <c r="H1944" s="68"/>
    </row>
    <row r="1945" spans="1:8" s="9" customFormat="1" ht="25.5" x14ac:dyDescent="0.2">
      <c r="A1945" s="259"/>
      <c r="B1945" s="28" t="s">
        <v>1455</v>
      </c>
      <c r="C1945" s="17"/>
      <c r="D1945" s="329"/>
      <c r="E1945" s="23"/>
      <c r="F1945" s="242"/>
      <c r="G1945" s="10"/>
      <c r="H1945" s="68"/>
    </row>
    <row r="1946" spans="1:8" s="9" customFormat="1" x14ac:dyDescent="0.2">
      <c r="A1946" s="259"/>
      <c r="B1946" s="20" t="s">
        <v>1464</v>
      </c>
      <c r="C1946" s="17" t="s">
        <v>33</v>
      </c>
      <c r="D1946" s="329">
        <v>1</v>
      </c>
      <c r="E1946" s="20"/>
      <c r="F1946" s="242">
        <f>SUM(D1946*E1946)</f>
        <v>0</v>
      </c>
      <c r="G1946" s="10"/>
      <c r="H1946" s="68"/>
    </row>
    <row r="1947" spans="1:8" s="9" customFormat="1" x14ac:dyDescent="0.2">
      <c r="A1947" s="259"/>
      <c r="B1947" s="20"/>
      <c r="C1947" s="17"/>
      <c r="D1947" s="329"/>
      <c r="E1947" s="20"/>
      <c r="F1947" s="242"/>
      <c r="G1947" s="10"/>
      <c r="H1947" s="68"/>
    </row>
    <row r="1948" spans="1:8" s="9" customFormat="1" x14ac:dyDescent="0.2">
      <c r="A1948" s="285" t="s">
        <v>1672</v>
      </c>
      <c r="B1948" s="20" t="s">
        <v>1465</v>
      </c>
      <c r="C1948" s="17"/>
      <c r="D1948" s="329"/>
      <c r="E1948" s="23"/>
      <c r="F1948" s="242"/>
      <c r="G1948" s="10"/>
      <c r="H1948" s="68"/>
    </row>
    <row r="1949" spans="1:8" s="9" customFormat="1" ht="25.5" x14ac:dyDescent="0.2">
      <c r="A1949" s="259"/>
      <c r="B1949" s="28" t="s">
        <v>1455</v>
      </c>
      <c r="C1949" s="17"/>
      <c r="D1949" s="329"/>
      <c r="E1949" s="23"/>
      <c r="F1949" s="242"/>
      <c r="G1949" s="10"/>
      <c r="H1949" s="68"/>
    </row>
    <row r="1950" spans="1:8" s="9" customFormat="1" x14ac:dyDescent="0.2">
      <c r="A1950" s="259"/>
      <c r="B1950" s="20" t="s">
        <v>1466</v>
      </c>
      <c r="C1950" s="17" t="s">
        <v>33</v>
      </c>
      <c r="D1950" s="329">
        <v>7</v>
      </c>
      <c r="E1950" s="20"/>
      <c r="F1950" s="242">
        <f>SUM(D1950*E1950)</f>
        <v>0</v>
      </c>
      <c r="G1950" s="10"/>
      <c r="H1950" s="68"/>
    </row>
    <row r="1951" spans="1:8" s="9" customFormat="1" x14ac:dyDescent="0.2">
      <c r="A1951" s="259"/>
      <c r="B1951" s="20"/>
      <c r="C1951" s="17"/>
      <c r="D1951" s="329"/>
      <c r="E1951" s="20"/>
      <c r="F1951" s="242"/>
      <c r="G1951" s="10"/>
      <c r="H1951" s="68"/>
    </row>
    <row r="1952" spans="1:8" s="9" customFormat="1" ht="15" x14ac:dyDescent="0.2">
      <c r="A1952" s="259" t="s">
        <v>209</v>
      </c>
      <c r="B1952" s="119" t="s">
        <v>1467</v>
      </c>
      <c r="C1952" s="17"/>
      <c r="D1952" s="52"/>
      <c r="E1952" s="23"/>
      <c r="F1952" s="255"/>
      <c r="G1952" s="10"/>
      <c r="H1952" s="68"/>
    </row>
    <row r="1953" spans="1:8" s="9" customFormat="1" x14ac:dyDescent="0.2">
      <c r="A1953" s="284"/>
      <c r="B1953" s="24"/>
      <c r="C1953" s="17"/>
      <c r="D1953" s="52"/>
      <c r="E1953" s="20"/>
      <c r="F1953" s="255"/>
      <c r="G1953" s="10"/>
      <c r="H1953" s="68"/>
    </row>
    <row r="1954" spans="1:8" s="9" customFormat="1" ht="38.25" x14ac:dyDescent="0.2">
      <c r="A1954" s="259"/>
      <c r="B1954" s="28" t="s">
        <v>1468</v>
      </c>
      <c r="C1954" s="17"/>
      <c r="D1954" s="52"/>
      <c r="E1954" s="23"/>
      <c r="F1954" s="255"/>
      <c r="G1954" s="10"/>
      <c r="H1954" s="68"/>
    </row>
    <row r="1955" spans="1:8" s="9" customFormat="1" ht="76.5" x14ac:dyDescent="0.2">
      <c r="A1955" s="259"/>
      <c r="B1955" s="28" t="s">
        <v>1469</v>
      </c>
      <c r="C1955" s="17"/>
      <c r="D1955" s="52"/>
      <c r="E1955" s="23"/>
      <c r="F1955" s="255"/>
      <c r="G1955" s="10"/>
      <c r="H1955" s="68"/>
    </row>
    <row r="1956" spans="1:8" s="9" customFormat="1" ht="38.25" x14ac:dyDescent="0.2">
      <c r="A1956" s="259"/>
      <c r="B1956" s="28" t="s">
        <v>1470</v>
      </c>
      <c r="C1956" s="17"/>
      <c r="D1956" s="52"/>
      <c r="E1956" s="23"/>
      <c r="F1956" s="255"/>
      <c r="G1956" s="10"/>
      <c r="H1956" s="68"/>
    </row>
    <row r="1957" spans="1:8" s="9" customFormat="1" ht="89.25" x14ac:dyDescent="0.2">
      <c r="A1957" s="284"/>
      <c r="B1957" s="69" t="s">
        <v>1426</v>
      </c>
      <c r="C1957" s="17"/>
      <c r="D1957" s="52"/>
      <c r="E1957" s="23"/>
      <c r="F1957" s="255"/>
      <c r="G1957" s="10"/>
      <c r="H1957" s="68"/>
    </row>
    <row r="1958" spans="1:8" s="9" customFormat="1" ht="51" x14ac:dyDescent="0.2">
      <c r="A1958" s="284"/>
      <c r="B1958" s="69" t="s">
        <v>1214</v>
      </c>
      <c r="C1958" s="17"/>
      <c r="D1958" s="52"/>
      <c r="E1958" s="23"/>
      <c r="F1958" s="255"/>
      <c r="G1958" s="10"/>
      <c r="H1958" s="68"/>
    </row>
    <row r="1959" spans="1:8" s="9" customFormat="1" ht="76.5" x14ac:dyDescent="0.2">
      <c r="A1959" s="401"/>
      <c r="B1959" s="402" t="s">
        <v>1471</v>
      </c>
      <c r="C1959" s="363"/>
      <c r="D1959" s="371"/>
      <c r="E1959" s="366"/>
      <c r="F1959" s="373"/>
      <c r="G1959" s="10"/>
      <c r="H1959" s="68"/>
    </row>
    <row r="1960" spans="1:8" s="9" customFormat="1" x14ac:dyDescent="0.2">
      <c r="A1960" s="284"/>
      <c r="B1960" s="69"/>
      <c r="C1960" s="17"/>
      <c r="D1960" s="52"/>
      <c r="E1960" s="23"/>
      <c r="F1960" s="255"/>
      <c r="G1960" s="10"/>
      <c r="H1960" s="68"/>
    </row>
    <row r="1961" spans="1:8" s="9" customFormat="1" ht="76.5" x14ac:dyDescent="0.2">
      <c r="A1961" s="284"/>
      <c r="B1961" s="34" t="s">
        <v>272</v>
      </c>
      <c r="C1961" s="17"/>
      <c r="D1961" s="52"/>
      <c r="E1961" s="23"/>
      <c r="F1961" s="255"/>
      <c r="G1961" s="10"/>
      <c r="H1961" s="68"/>
    </row>
    <row r="1962" spans="1:8" s="9" customFormat="1" ht="25.5" x14ac:dyDescent="0.2">
      <c r="A1962" s="259"/>
      <c r="B1962" s="34" t="s">
        <v>136</v>
      </c>
      <c r="C1962" s="17"/>
      <c r="D1962" s="329"/>
      <c r="E1962" s="23"/>
      <c r="F1962" s="242"/>
      <c r="G1962" s="10"/>
      <c r="H1962" s="68"/>
    </row>
    <row r="1963" spans="1:8" s="9" customFormat="1" x14ac:dyDescent="0.2">
      <c r="A1963" s="259"/>
      <c r="B1963" s="34"/>
      <c r="C1963" s="17"/>
      <c r="D1963" s="329"/>
      <c r="E1963" s="23"/>
      <c r="F1963" s="242"/>
      <c r="G1963" s="10"/>
      <c r="H1963" s="68"/>
    </row>
    <row r="1964" spans="1:8" s="9" customFormat="1" x14ac:dyDescent="0.2">
      <c r="A1964" s="259"/>
      <c r="B1964" s="20" t="s">
        <v>1472</v>
      </c>
      <c r="C1964" s="17"/>
      <c r="D1964" s="329"/>
      <c r="E1964" s="23"/>
      <c r="F1964" s="242"/>
      <c r="G1964" s="10"/>
      <c r="H1964" s="68"/>
    </row>
    <row r="1965" spans="1:8" s="9" customFormat="1" x14ac:dyDescent="0.2">
      <c r="A1965" s="259"/>
      <c r="B1965" s="28" t="s">
        <v>1473</v>
      </c>
      <c r="C1965" s="17"/>
      <c r="D1965" s="329"/>
      <c r="E1965" s="23"/>
      <c r="F1965" s="242"/>
      <c r="G1965" s="10"/>
      <c r="H1965" s="68"/>
    </row>
    <row r="1966" spans="1:8" s="9" customFormat="1" x14ac:dyDescent="0.2">
      <c r="A1966" s="259"/>
      <c r="B1966" s="20" t="s">
        <v>1474</v>
      </c>
      <c r="C1966" s="17" t="s">
        <v>33</v>
      </c>
      <c r="D1966" s="329">
        <v>3</v>
      </c>
      <c r="E1966" s="20"/>
      <c r="F1966" s="242">
        <f>SUM(D1966*E1966)</f>
        <v>0</v>
      </c>
      <c r="G1966" s="10"/>
      <c r="H1966" s="68"/>
    </row>
    <row r="1967" spans="1:8" s="9" customFormat="1" x14ac:dyDescent="0.2">
      <c r="A1967" s="284"/>
      <c r="B1967" s="69"/>
      <c r="C1967" s="17"/>
      <c r="D1967" s="52"/>
      <c r="E1967" s="23"/>
      <c r="F1967" s="255"/>
      <c r="G1967" s="10"/>
      <c r="H1967" s="68"/>
    </row>
    <row r="1968" spans="1:8" s="9" customFormat="1" ht="15" x14ac:dyDescent="0.2">
      <c r="A1968" s="259" t="s">
        <v>210</v>
      </c>
      <c r="B1968" s="119" t="s">
        <v>1475</v>
      </c>
      <c r="C1968" s="17"/>
      <c r="D1968" s="312"/>
      <c r="E1968" s="23"/>
      <c r="F1968" s="255"/>
      <c r="G1968" s="11"/>
      <c r="H1968" s="68"/>
    </row>
    <row r="1969" spans="1:8" s="9" customFormat="1" ht="15" x14ac:dyDescent="0.2">
      <c r="A1969" s="259"/>
      <c r="B1969" s="119"/>
      <c r="C1969" s="17"/>
      <c r="D1969" s="312"/>
      <c r="E1969" s="23"/>
      <c r="F1969" s="255"/>
      <c r="G1969" s="11"/>
      <c r="H1969" s="68"/>
    </row>
    <row r="1970" spans="1:8" s="9" customFormat="1" ht="38.25" x14ac:dyDescent="0.2">
      <c r="A1970" s="259"/>
      <c r="B1970" s="28" t="s">
        <v>1218</v>
      </c>
      <c r="C1970" s="17"/>
      <c r="D1970" s="52"/>
      <c r="E1970" s="23"/>
      <c r="F1970" s="255"/>
      <c r="G1970" s="10"/>
      <c r="H1970" s="68"/>
    </row>
    <row r="1971" spans="1:8" s="9" customFormat="1" ht="89.25" x14ac:dyDescent="0.2">
      <c r="A1971" s="284"/>
      <c r="B1971" s="69" t="s">
        <v>1219</v>
      </c>
      <c r="C1971" s="17"/>
      <c r="D1971" s="52"/>
      <c r="E1971" s="23"/>
      <c r="F1971" s="255"/>
      <c r="G1971" s="10"/>
      <c r="H1971" s="68"/>
    </row>
    <row r="1972" spans="1:8" s="9" customFormat="1" ht="51" x14ac:dyDescent="0.2">
      <c r="A1972" s="284"/>
      <c r="B1972" s="34" t="s">
        <v>1220</v>
      </c>
      <c r="C1972" s="17"/>
      <c r="D1972" s="52"/>
      <c r="E1972" s="23"/>
      <c r="F1972" s="255"/>
      <c r="G1972" s="10"/>
      <c r="H1972" s="68"/>
    </row>
    <row r="1973" spans="1:8" s="9" customFormat="1" ht="38.25" x14ac:dyDescent="0.2">
      <c r="A1973" s="284"/>
      <c r="B1973" s="34" t="s">
        <v>271</v>
      </c>
      <c r="C1973" s="17"/>
      <c r="D1973" s="52"/>
      <c r="E1973" s="23"/>
      <c r="F1973" s="255"/>
      <c r="G1973" s="10"/>
      <c r="H1973" s="68"/>
    </row>
    <row r="1974" spans="1:8" s="9" customFormat="1" ht="25.5" x14ac:dyDescent="0.2">
      <c r="A1974" s="284"/>
      <c r="B1974" s="34" t="s">
        <v>187</v>
      </c>
      <c r="C1974" s="17"/>
      <c r="D1974" s="52"/>
      <c r="E1974" s="23"/>
      <c r="F1974" s="255"/>
      <c r="G1974" s="10"/>
      <c r="H1974" s="68"/>
    </row>
    <row r="1975" spans="1:8" s="9" customFormat="1" ht="25.5" x14ac:dyDescent="0.2">
      <c r="A1975" s="284"/>
      <c r="B1975" s="20" t="s">
        <v>137</v>
      </c>
      <c r="C1975" s="17"/>
      <c r="D1975" s="52"/>
      <c r="E1975" s="23"/>
      <c r="F1975" s="255"/>
      <c r="G1975" s="10"/>
      <c r="H1975" s="68"/>
    </row>
    <row r="1976" spans="1:8" s="9" customFormat="1" x14ac:dyDescent="0.2">
      <c r="A1976" s="284"/>
      <c r="B1976" s="20"/>
      <c r="C1976" s="17"/>
      <c r="D1976" s="52"/>
      <c r="E1976" s="23"/>
      <c r="F1976" s="255"/>
      <c r="G1976" s="10"/>
      <c r="H1976" s="68"/>
    </row>
    <row r="1977" spans="1:8" s="9" customFormat="1" ht="25.5" x14ac:dyDescent="0.2">
      <c r="A1977" s="284"/>
      <c r="B1977" s="20" t="s">
        <v>1476</v>
      </c>
      <c r="C1977" s="17"/>
      <c r="D1977" s="23"/>
      <c r="E1977" s="23"/>
      <c r="F1977" s="242"/>
      <c r="G1977" s="10"/>
      <c r="H1977" s="68"/>
    </row>
    <row r="1978" spans="1:8" s="9" customFormat="1" x14ac:dyDescent="0.2">
      <c r="A1978" s="284"/>
      <c r="B1978" s="69" t="s">
        <v>180</v>
      </c>
      <c r="C1978" s="17" t="s">
        <v>40</v>
      </c>
      <c r="D1978" s="52">
        <f>2.9*8</f>
        <v>23.2</v>
      </c>
      <c r="E1978" s="20"/>
      <c r="F1978" s="255">
        <f>SUM(D1978*E1978)</f>
        <v>0</v>
      </c>
      <c r="G1978" s="10"/>
      <c r="H1978" s="68"/>
    </row>
    <row r="1979" spans="1:8" s="9" customFormat="1" x14ac:dyDescent="0.2">
      <c r="A1979" s="284"/>
      <c r="B1979" s="69"/>
      <c r="C1979" s="17"/>
      <c r="D1979" s="52"/>
      <c r="E1979" s="20"/>
      <c r="F1979" s="255"/>
      <c r="G1979" s="10"/>
      <c r="H1979" s="68"/>
    </row>
    <row r="1980" spans="1:8" s="9" customFormat="1" ht="25.5" x14ac:dyDescent="0.2">
      <c r="A1980" s="284"/>
      <c r="B1980" s="20" t="s">
        <v>1477</v>
      </c>
      <c r="C1980" s="17"/>
      <c r="D1980" s="23"/>
      <c r="E1980" s="23"/>
      <c r="F1980" s="242"/>
      <c r="G1980" s="10"/>
      <c r="H1980" s="68"/>
    </row>
    <row r="1981" spans="1:8" s="9" customFormat="1" x14ac:dyDescent="0.2">
      <c r="A1981" s="284"/>
      <c r="B1981" s="69" t="s">
        <v>1478</v>
      </c>
      <c r="C1981" s="17" t="s">
        <v>40</v>
      </c>
      <c r="D1981" s="52">
        <f>0.78*1</f>
        <v>0.78</v>
      </c>
      <c r="E1981" s="20"/>
      <c r="F1981" s="255">
        <f>SUM(D1981*E1981)</f>
        <v>0</v>
      </c>
      <c r="G1981" s="10"/>
      <c r="H1981" s="68"/>
    </row>
    <row r="1982" spans="1:8" s="9" customFormat="1" x14ac:dyDescent="0.2">
      <c r="A1982" s="284"/>
      <c r="B1982" s="69"/>
      <c r="C1982" s="17"/>
      <c r="D1982" s="52"/>
      <c r="E1982" s="20"/>
      <c r="F1982" s="255"/>
      <c r="G1982" s="10"/>
      <c r="H1982" s="68"/>
    </row>
    <row r="1983" spans="1:8" s="9" customFormat="1" ht="25.5" x14ac:dyDescent="0.2">
      <c r="A1983" s="284"/>
      <c r="B1983" s="20" t="s">
        <v>1479</v>
      </c>
      <c r="C1983" s="17"/>
      <c r="D1983" s="23"/>
      <c r="E1983" s="23"/>
      <c r="F1983" s="242"/>
      <c r="G1983" s="10"/>
      <c r="H1983" s="68"/>
    </row>
    <row r="1984" spans="1:8" s="9" customFormat="1" x14ac:dyDescent="0.2">
      <c r="A1984" s="401"/>
      <c r="B1984" s="402" t="s">
        <v>1480</v>
      </c>
      <c r="C1984" s="363" t="s">
        <v>40</v>
      </c>
      <c r="D1984" s="371">
        <f>0.53*4</f>
        <v>2.12</v>
      </c>
      <c r="E1984" s="352"/>
      <c r="F1984" s="373">
        <f>SUM(D1984*E1984)</f>
        <v>0</v>
      </c>
      <c r="G1984" s="10"/>
      <c r="H1984" s="68"/>
    </row>
    <row r="1985" spans="1:8" s="9" customFormat="1" x14ac:dyDescent="0.2">
      <c r="A1985" s="284"/>
      <c r="B1985" s="69"/>
      <c r="C1985" s="17"/>
      <c r="D1985" s="52"/>
      <c r="E1985" s="23"/>
      <c r="F1985" s="255"/>
      <c r="G1985" s="10"/>
      <c r="H1985" s="68"/>
    </row>
    <row r="1986" spans="1:8" s="9" customFormat="1" ht="15" x14ac:dyDescent="0.2">
      <c r="A1986" s="259" t="s">
        <v>211</v>
      </c>
      <c r="B1986" s="35" t="s">
        <v>188</v>
      </c>
      <c r="C1986" s="17"/>
      <c r="D1986" s="52"/>
      <c r="E1986" s="23"/>
      <c r="F1986" s="255"/>
      <c r="G1986" s="10"/>
      <c r="H1986" s="68"/>
    </row>
    <row r="1987" spans="1:8" s="9" customFormat="1" ht="15" x14ac:dyDescent="0.2">
      <c r="A1987" s="259"/>
      <c r="B1987" s="35"/>
      <c r="C1987" s="17"/>
      <c r="D1987" s="52"/>
      <c r="E1987" s="23"/>
      <c r="F1987" s="255"/>
      <c r="G1987" s="10"/>
      <c r="H1987" s="68"/>
    </row>
    <row r="1988" spans="1:8" s="9" customFormat="1" ht="63.75" x14ac:dyDescent="0.2">
      <c r="A1988" s="259"/>
      <c r="B1988" s="28" t="s">
        <v>552</v>
      </c>
      <c r="C1988" s="17"/>
      <c r="D1988" s="52"/>
      <c r="E1988" s="23"/>
      <c r="F1988" s="255"/>
      <c r="G1988" s="10"/>
      <c r="H1988" s="68"/>
    </row>
    <row r="1989" spans="1:8" s="9" customFormat="1" ht="76.5" x14ac:dyDescent="0.2">
      <c r="A1989" s="284"/>
      <c r="B1989" s="69" t="s">
        <v>553</v>
      </c>
      <c r="C1989" s="17"/>
      <c r="D1989" s="52"/>
      <c r="E1989" s="23"/>
      <c r="F1989" s="255"/>
      <c r="G1989" s="10"/>
      <c r="H1989" s="68"/>
    </row>
    <row r="1990" spans="1:8" s="9" customFormat="1" ht="89.25" x14ac:dyDescent="0.2">
      <c r="A1990" s="284"/>
      <c r="B1990" s="69" t="s">
        <v>1216</v>
      </c>
      <c r="C1990" s="17"/>
      <c r="D1990" s="52"/>
      <c r="E1990" s="23"/>
      <c r="F1990" s="255"/>
      <c r="G1990" s="10"/>
      <c r="H1990" s="68"/>
    </row>
    <row r="1991" spans="1:8" s="9" customFormat="1" ht="51" x14ac:dyDescent="0.2">
      <c r="A1991" s="284"/>
      <c r="B1991" s="69" t="s">
        <v>1214</v>
      </c>
      <c r="C1991" s="17"/>
      <c r="D1991" s="52"/>
      <c r="E1991" s="23"/>
      <c r="F1991" s="255"/>
      <c r="G1991" s="10"/>
      <c r="H1991" s="68"/>
    </row>
    <row r="1992" spans="1:8" s="9" customFormat="1" ht="63.75" x14ac:dyDescent="0.2">
      <c r="A1992" s="284"/>
      <c r="B1992" s="69" t="s">
        <v>554</v>
      </c>
      <c r="C1992" s="17"/>
      <c r="D1992" s="52"/>
      <c r="E1992" s="23"/>
      <c r="F1992" s="255"/>
      <c r="G1992" s="10"/>
      <c r="H1992" s="68"/>
    </row>
    <row r="1993" spans="1:8" s="9" customFormat="1" ht="63.75" x14ac:dyDescent="0.2">
      <c r="A1993" s="284"/>
      <c r="B1993" s="69" t="s">
        <v>547</v>
      </c>
      <c r="C1993" s="17"/>
      <c r="D1993" s="52"/>
      <c r="E1993" s="23"/>
      <c r="F1993" s="255"/>
      <c r="G1993" s="10"/>
      <c r="H1993" s="68"/>
    </row>
    <row r="1994" spans="1:8" s="9" customFormat="1" ht="25.5" x14ac:dyDescent="0.2">
      <c r="A1994" s="284"/>
      <c r="B1994" s="34" t="s">
        <v>170</v>
      </c>
      <c r="C1994" s="17"/>
      <c r="D1994" s="52"/>
      <c r="E1994" s="23"/>
      <c r="F1994" s="255"/>
      <c r="G1994" s="10"/>
      <c r="H1994" s="68"/>
    </row>
    <row r="1995" spans="1:8" s="9" customFormat="1" ht="25.5" x14ac:dyDescent="0.2">
      <c r="A1995" s="284"/>
      <c r="B1995" s="20" t="s">
        <v>137</v>
      </c>
      <c r="C1995" s="17"/>
      <c r="D1995" s="52"/>
      <c r="E1995" s="23"/>
      <c r="F1995" s="255"/>
      <c r="G1995" s="10"/>
      <c r="H1995" s="68"/>
    </row>
    <row r="1996" spans="1:8" s="9" customFormat="1" x14ac:dyDescent="0.2">
      <c r="A1996" s="284"/>
      <c r="B1996" s="34"/>
      <c r="C1996" s="17"/>
      <c r="D1996" s="52"/>
      <c r="E1996" s="23"/>
      <c r="F1996" s="255"/>
      <c r="G1996" s="10"/>
      <c r="H1996" s="68"/>
    </row>
    <row r="1997" spans="1:8" s="9" customFormat="1" ht="25.5" x14ac:dyDescent="0.2">
      <c r="A1997" s="284"/>
      <c r="B1997" s="20" t="s">
        <v>1481</v>
      </c>
      <c r="C1997" s="17"/>
      <c r="D1997" s="52"/>
      <c r="E1997" s="23"/>
      <c r="F1997" s="255"/>
      <c r="G1997" s="10"/>
      <c r="H1997" s="68"/>
    </row>
    <row r="1998" spans="1:8" s="9" customFormat="1" x14ac:dyDescent="0.2">
      <c r="A1998" s="401"/>
      <c r="B1998" s="402" t="s">
        <v>1482</v>
      </c>
      <c r="C1998" s="363" t="s">
        <v>40</v>
      </c>
      <c r="D1998" s="371">
        <f>2.87*4*2+0.1*2*4+1.48</f>
        <v>25.240000000000002</v>
      </c>
      <c r="E1998" s="352"/>
      <c r="F1998" s="373">
        <f>SUM(D1998*E1998)</f>
        <v>0</v>
      </c>
      <c r="G1998" s="10"/>
      <c r="H1998" s="68"/>
    </row>
    <row r="1999" spans="1:8" s="9" customFormat="1" x14ac:dyDescent="0.2">
      <c r="A1999" s="284"/>
      <c r="B1999" s="69"/>
      <c r="C1999" s="17"/>
      <c r="D1999" s="52"/>
      <c r="E1999" s="20"/>
      <c r="F1999" s="255"/>
      <c r="G1999" s="10"/>
      <c r="H1999" s="68"/>
    </row>
    <row r="2000" spans="1:8" s="9" customFormat="1" ht="15" x14ac:dyDescent="0.2">
      <c r="A2000" s="259" t="s">
        <v>212</v>
      </c>
      <c r="B2000" s="35" t="s">
        <v>1483</v>
      </c>
      <c r="C2000" s="17"/>
      <c r="D2000" s="52"/>
      <c r="E2000" s="23"/>
      <c r="F2000" s="255"/>
      <c r="G2000" s="10"/>
      <c r="H2000" s="68"/>
    </row>
    <row r="2001" spans="1:13" s="9" customFormat="1" x14ac:dyDescent="0.2">
      <c r="A2001" s="284"/>
      <c r="B2001" s="69"/>
      <c r="C2001" s="17"/>
      <c r="D2001" s="52"/>
      <c r="E2001" s="20"/>
      <c r="F2001" s="255"/>
      <c r="G2001" s="10"/>
      <c r="H2001" s="68"/>
    </row>
    <row r="2002" spans="1:13" s="9" customFormat="1" ht="38.25" x14ac:dyDescent="0.2">
      <c r="A2002" s="259"/>
      <c r="B2002" s="28" t="s">
        <v>1484</v>
      </c>
      <c r="C2002" s="17"/>
      <c r="D2002" s="52"/>
      <c r="E2002" s="23"/>
      <c r="F2002" s="255"/>
      <c r="G2002" s="10"/>
      <c r="H2002" s="68"/>
    </row>
    <row r="2003" spans="1:13" s="9" customFormat="1" ht="127.5" x14ac:dyDescent="0.2">
      <c r="A2003" s="284"/>
      <c r="B2003" s="69" t="s">
        <v>1485</v>
      </c>
      <c r="C2003" s="17"/>
      <c r="D2003" s="52"/>
      <c r="E2003" s="23"/>
      <c r="F2003" s="255"/>
      <c r="G2003" s="10"/>
      <c r="H2003" s="68"/>
    </row>
    <row r="2004" spans="1:13" s="9" customFormat="1" ht="89.25" x14ac:dyDescent="0.2">
      <c r="A2004" s="284"/>
      <c r="B2004" s="69" t="s">
        <v>1486</v>
      </c>
      <c r="C2004" s="17"/>
      <c r="D2004" s="52"/>
      <c r="E2004" s="23"/>
      <c r="F2004" s="255"/>
      <c r="G2004" s="10"/>
      <c r="H2004" s="68"/>
    </row>
    <row r="2005" spans="1:13" s="9" customFormat="1" ht="63.75" x14ac:dyDescent="0.2">
      <c r="A2005" s="284"/>
      <c r="B2005" s="69" t="s">
        <v>1487</v>
      </c>
      <c r="C2005" s="17"/>
      <c r="D2005" s="52"/>
      <c r="E2005" s="20"/>
      <c r="F2005" s="255"/>
      <c r="G2005" s="10"/>
      <c r="H2005" s="68"/>
    </row>
    <row r="2006" spans="1:13" s="9" customFormat="1" ht="76.5" x14ac:dyDescent="0.2">
      <c r="A2006" s="284"/>
      <c r="B2006" s="34" t="s">
        <v>272</v>
      </c>
      <c r="C2006" s="17"/>
      <c r="D2006" s="52"/>
      <c r="E2006" s="23"/>
      <c r="F2006" s="255"/>
      <c r="G2006" s="10"/>
      <c r="H2006" s="68"/>
    </row>
    <row r="2007" spans="1:13" s="9" customFormat="1" x14ac:dyDescent="0.2">
      <c r="A2007" s="284"/>
      <c r="B2007" s="34"/>
      <c r="C2007" s="17"/>
      <c r="D2007" s="52"/>
      <c r="E2007" s="23"/>
      <c r="F2007" s="255"/>
      <c r="G2007" s="10"/>
      <c r="H2007" s="68"/>
    </row>
    <row r="2008" spans="1:13" s="9" customFormat="1" ht="25.5" x14ac:dyDescent="0.2">
      <c r="A2008" s="284"/>
      <c r="B2008" s="20" t="s">
        <v>1488</v>
      </c>
      <c r="C2008" s="17"/>
      <c r="D2008" s="52"/>
      <c r="E2008" s="23"/>
      <c r="F2008" s="255"/>
      <c r="G2008" s="10"/>
      <c r="H2008" s="68"/>
    </row>
    <row r="2009" spans="1:13" s="9" customFormat="1" x14ac:dyDescent="0.2">
      <c r="A2009" s="284"/>
      <c r="B2009" s="69" t="s">
        <v>1489</v>
      </c>
      <c r="C2009" s="17" t="s">
        <v>40</v>
      </c>
      <c r="D2009" s="52">
        <f>12.7*1</f>
        <v>12.7</v>
      </c>
      <c r="E2009" s="20"/>
      <c r="F2009" s="255">
        <f>SUM(D2009*E2009)</f>
        <v>0</v>
      </c>
      <c r="G2009" s="10"/>
      <c r="H2009" s="68"/>
    </row>
    <row r="2010" spans="1:13" s="74" customFormat="1" x14ac:dyDescent="0.2">
      <c r="A2010" s="284"/>
      <c r="B2010" s="69"/>
      <c r="C2010" s="17"/>
      <c r="D2010" s="52"/>
      <c r="E2010" s="23"/>
      <c r="F2010" s="255"/>
      <c r="G2010" s="10"/>
      <c r="H2010" s="68"/>
      <c r="I2010" s="9"/>
      <c r="J2010" s="9"/>
      <c r="K2010" s="9"/>
      <c r="L2010" s="9"/>
      <c r="M2010" s="9"/>
    </row>
    <row r="2011" spans="1:13" s="74" customFormat="1" ht="15" x14ac:dyDescent="0.2">
      <c r="A2011" s="259" t="s">
        <v>559</v>
      </c>
      <c r="B2011" s="35" t="s">
        <v>558</v>
      </c>
      <c r="C2011" s="17"/>
      <c r="D2011" s="312"/>
      <c r="E2011" s="23"/>
      <c r="F2011" s="255"/>
      <c r="G2011" s="10"/>
      <c r="H2011" s="68"/>
      <c r="I2011" s="9"/>
      <c r="J2011" s="9"/>
      <c r="K2011" s="9"/>
      <c r="L2011" s="9"/>
      <c r="M2011" s="9"/>
    </row>
    <row r="2012" spans="1:13" s="74" customFormat="1" ht="15" x14ac:dyDescent="0.2">
      <c r="A2012" s="259"/>
      <c r="B2012" s="215"/>
      <c r="C2012" s="17"/>
      <c r="D2012" s="312"/>
      <c r="E2012" s="23"/>
      <c r="F2012" s="255"/>
      <c r="G2012" s="10"/>
      <c r="H2012" s="68"/>
      <c r="I2012" s="9"/>
      <c r="J2012" s="9"/>
      <c r="K2012" s="9"/>
      <c r="L2012" s="9"/>
      <c r="M2012" s="9"/>
    </row>
    <row r="2013" spans="1:13" s="74" customFormat="1" ht="51" x14ac:dyDescent="0.2">
      <c r="A2013" s="259"/>
      <c r="B2013" s="162" t="s">
        <v>1221</v>
      </c>
      <c r="C2013" s="17"/>
      <c r="D2013" s="312"/>
      <c r="E2013" s="23"/>
      <c r="F2013" s="255"/>
      <c r="G2013" s="10"/>
      <c r="H2013" s="68"/>
      <c r="I2013" s="9"/>
      <c r="J2013" s="9"/>
      <c r="K2013" s="9"/>
      <c r="L2013" s="9"/>
      <c r="M2013" s="9"/>
    </row>
    <row r="2014" spans="1:13" s="74" customFormat="1" ht="51" x14ac:dyDescent="0.2">
      <c r="A2014" s="284"/>
      <c r="B2014" s="171" t="s">
        <v>1222</v>
      </c>
      <c r="C2014" s="17"/>
      <c r="D2014" s="312"/>
      <c r="E2014" s="23"/>
      <c r="F2014" s="255"/>
      <c r="G2014" s="10"/>
      <c r="H2014" s="68"/>
      <c r="I2014" s="9"/>
      <c r="J2014" s="9"/>
      <c r="K2014" s="9"/>
      <c r="L2014" s="9"/>
      <c r="M2014" s="9"/>
    </row>
    <row r="2015" spans="1:13" s="74" customFormat="1" ht="25.5" x14ac:dyDescent="0.2">
      <c r="A2015" s="401"/>
      <c r="B2015" s="404" t="s">
        <v>1223</v>
      </c>
      <c r="C2015" s="363"/>
      <c r="D2015" s="403"/>
      <c r="E2015" s="366"/>
      <c r="F2015" s="373"/>
      <c r="G2015" s="10"/>
      <c r="H2015" s="68"/>
      <c r="I2015" s="9"/>
      <c r="J2015" s="9"/>
      <c r="K2015" s="9"/>
      <c r="L2015" s="9"/>
      <c r="M2015" s="9"/>
    </row>
    <row r="2016" spans="1:13" s="74" customFormat="1" x14ac:dyDescent="0.2">
      <c r="A2016" s="284"/>
      <c r="B2016" s="171"/>
      <c r="C2016" s="17"/>
      <c r="D2016" s="312"/>
      <c r="E2016" s="23"/>
      <c r="F2016" s="255"/>
      <c r="G2016" s="10"/>
      <c r="H2016" s="68"/>
      <c r="I2016" s="9"/>
      <c r="J2016" s="9"/>
      <c r="K2016" s="9"/>
      <c r="L2016" s="9"/>
      <c r="M2016" s="9"/>
    </row>
    <row r="2017" spans="1:13" s="74" customFormat="1" ht="38.25" x14ac:dyDescent="0.2">
      <c r="A2017" s="284"/>
      <c r="B2017" s="171" t="s">
        <v>1224</v>
      </c>
      <c r="C2017" s="17"/>
      <c r="D2017" s="312"/>
      <c r="E2017" s="23"/>
      <c r="F2017" s="255"/>
      <c r="G2017" s="10"/>
      <c r="H2017" s="68"/>
      <c r="I2017" s="9"/>
      <c r="J2017" s="9"/>
      <c r="K2017" s="9"/>
      <c r="L2017" s="9"/>
      <c r="M2017" s="9"/>
    </row>
    <row r="2018" spans="1:13" s="74" customFormat="1" ht="25.5" x14ac:dyDescent="0.2">
      <c r="A2018" s="284"/>
      <c r="B2018" s="171" t="s">
        <v>1514</v>
      </c>
      <c r="C2018" s="17"/>
      <c r="D2018" s="312"/>
      <c r="E2018" s="23"/>
      <c r="F2018" s="255"/>
      <c r="G2018" s="10"/>
      <c r="H2018" s="68"/>
      <c r="I2018" s="9"/>
      <c r="J2018" s="9"/>
      <c r="K2018" s="9"/>
      <c r="L2018" s="9"/>
      <c r="M2018" s="9"/>
    </row>
    <row r="2019" spans="1:13" s="74" customFormat="1" ht="63.75" x14ac:dyDescent="0.2">
      <c r="A2019" s="284"/>
      <c r="B2019" s="10" t="s">
        <v>1225</v>
      </c>
      <c r="C2019" s="17"/>
      <c r="D2019" s="312"/>
      <c r="E2019" s="23"/>
      <c r="F2019" s="255"/>
      <c r="G2019" s="10"/>
      <c r="H2019" s="68"/>
      <c r="I2019" s="9"/>
      <c r="J2019" s="9"/>
      <c r="K2019" s="9"/>
      <c r="L2019" s="9"/>
      <c r="M2019" s="9"/>
    </row>
    <row r="2020" spans="1:13" s="74" customFormat="1" ht="63.75" x14ac:dyDescent="0.2">
      <c r="A2020" s="284"/>
      <c r="B2020" s="61" t="s">
        <v>555</v>
      </c>
      <c r="C2020" s="17"/>
      <c r="D2020" s="312"/>
      <c r="E2020" s="23"/>
      <c r="F2020" s="255"/>
      <c r="G2020" s="10"/>
      <c r="H2020" s="68"/>
      <c r="I2020" s="9"/>
      <c r="J2020" s="9"/>
      <c r="K2020" s="9"/>
      <c r="L2020" s="9"/>
      <c r="M2020" s="9"/>
    </row>
    <row r="2021" spans="1:13" s="74" customFormat="1" ht="38.25" x14ac:dyDescent="0.2">
      <c r="A2021" s="284"/>
      <c r="B2021" s="163" t="s">
        <v>556</v>
      </c>
      <c r="C2021" s="17"/>
      <c r="D2021" s="312"/>
      <c r="E2021" s="23"/>
      <c r="F2021" s="255"/>
      <c r="G2021" s="10"/>
      <c r="H2021" s="68"/>
      <c r="I2021" s="9"/>
      <c r="J2021" s="9"/>
      <c r="K2021" s="9"/>
      <c r="L2021" s="9"/>
      <c r="M2021" s="9"/>
    </row>
    <row r="2022" spans="1:13" s="74" customFormat="1" ht="25.5" x14ac:dyDescent="0.2">
      <c r="A2022" s="284"/>
      <c r="B2022" s="164" t="s">
        <v>557</v>
      </c>
      <c r="C2022" s="17"/>
      <c r="D2022" s="312"/>
      <c r="E2022" s="23"/>
      <c r="F2022" s="255"/>
      <c r="G2022" s="10"/>
      <c r="H2022" s="68"/>
      <c r="I2022" s="9"/>
      <c r="J2022" s="9"/>
      <c r="K2022" s="9"/>
      <c r="L2022" s="9"/>
      <c r="M2022" s="9"/>
    </row>
    <row r="2023" spans="1:13" s="74" customFormat="1" x14ac:dyDescent="0.2">
      <c r="A2023" s="284"/>
      <c r="B2023" s="34"/>
      <c r="C2023" s="17"/>
      <c r="D2023" s="312"/>
      <c r="E2023" s="23"/>
      <c r="F2023" s="255"/>
      <c r="G2023" s="10"/>
      <c r="H2023" s="68"/>
      <c r="I2023" s="9"/>
      <c r="J2023" s="9"/>
      <c r="K2023" s="9"/>
      <c r="L2023" s="9"/>
      <c r="M2023" s="9"/>
    </row>
    <row r="2024" spans="1:13" s="74" customFormat="1" x14ac:dyDescent="0.2">
      <c r="A2024" s="284"/>
      <c r="B2024" s="67" t="s">
        <v>186</v>
      </c>
      <c r="C2024" s="22"/>
      <c r="D2024" s="36"/>
      <c r="E2024" s="23"/>
      <c r="F2024" s="242"/>
      <c r="G2024" s="10"/>
      <c r="H2024" s="68"/>
      <c r="I2024" s="9"/>
      <c r="J2024" s="9"/>
      <c r="K2024" s="9"/>
      <c r="L2024" s="9"/>
      <c r="M2024" s="9"/>
    </row>
    <row r="2025" spans="1:13" ht="25.5" x14ac:dyDescent="0.2">
      <c r="A2025" s="284"/>
      <c r="B2025" s="165" t="s">
        <v>1513</v>
      </c>
      <c r="C2025" s="22"/>
      <c r="D2025" s="36"/>
      <c r="E2025" s="23"/>
      <c r="F2025" s="242"/>
      <c r="G2025" s="10"/>
      <c r="H2025" s="68"/>
      <c r="I2025" s="9"/>
      <c r="J2025" s="9"/>
      <c r="K2025" s="9"/>
      <c r="L2025" s="9"/>
      <c r="M2025" s="9"/>
    </row>
    <row r="2026" spans="1:13" x14ac:dyDescent="0.2">
      <c r="A2026" s="284"/>
      <c r="B2026" s="28" t="s">
        <v>1490</v>
      </c>
      <c r="C2026" s="22" t="s">
        <v>33</v>
      </c>
      <c r="D2026" s="36">
        <v>10</v>
      </c>
      <c r="E2026" s="20"/>
      <c r="F2026" s="255">
        <f>SUM(D2026*E2026)</f>
        <v>0</v>
      </c>
      <c r="G2026" s="10"/>
      <c r="H2026" s="68"/>
      <c r="I2026" s="9"/>
      <c r="J2026" s="9"/>
      <c r="K2026" s="9"/>
      <c r="L2026" s="9"/>
      <c r="M2026" s="9"/>
    </row>
    <row r="2027" spans="1:13" s="74" customFormat="1" x14ac:dyDescent="0.2">
      <c r="A2027" s="284"/>
      <c r="B2027" s="28"/>
      <c r="C2027" s="22"/>
      <c r="D2027" s="36"/>
      <c r="E2027" s="23"/>
      <c r="F2027" s="255"/>
      <c r="G2027" s="10"/>
      <c r="H2027" s="68"/>
      <c r="I2027" s="9"/>
      <c r="J2027" s="9"/>
      <c r="K2027" s="9"/>
      <c r="L2027" s="9"/>
      <c r="M2027" s="9"/>
    </row>
    <row r="2028" spans="1:13" ht="15" x14ac:dyDescent="0.2">
      <c r="A2028" s="259" t="s">
        <v>1496</v>
      </c>
      <c r="B2028" s="35" t="s">
        <v>1226</v>
      </c>
      <c r="C2028" s="22"/>
      <c r="D2028" s="36"/>
      <c r="E2028" s="23"/>
      <c r="F2028" s="242"/>
      <c r="G2028" s="10"/>
      <c r="H2028" s="68"/>
      <c r="I2028" s="9"/>
      <c r="J2028" s="9"/>
      <c r="K2028" s="9"/>
      <c r="L2028" s="9"/>
      <c r="M2028" s="9"/>
    </row>
    <row r="2029" spans="1:13" ht="15" x14ac:dyDescent="0.2">
      <c r="A2029" s="285"/>
      <c r="B2029" s="35"/>
      <c r="C2029" s="22"/>
      <c r="D2029" s="36"/>
      <c r="E2029" s="23"/>
      <c r="F2029" s="242"/>
      <c r="G2029" s="10"/>
      <c r="H2029" s="68"/>
      <c r="I2029" s="9"/>
      <c r="J2029" s="9"/>
      <c r="K2029" s="9"/>
      <c r="L2029" s="9"/>
      <c r="M2029" s="9"/>
    </row>
    <row r="2030" spans="1:13" ht="51" x14ac:dyDescent="0.2">
      <c r="A2030" s="259"/>
      <c r="B2030" s="28" t="s">
        <v>1229</v>
      </c>
      <c r="C2030" s="22"/>
      <c r="D2030" s="36"/>
      <c r="E2030" s="23"/>
      <c r="F2030" s="242"/>
      <c r="G2030" s="10"/>
      <c r="H2030" s="68"/>
      <c r="I2030" s="9"/>
      <c r="J2030" s="9"/>
      <c r="K2030" s="9"/>
      <c r="L2030" s="9"/>
      <c r="M2030" s="9"/>
    </row>
    <row r="2031" spans="1:13" ht="51" x14ac:dyDescent="0.2">
      <c r="A2031" s="259"/>
      <c r="B2031" s="28" t="s">
        <v>1230</v>
      </c>
      <c r="C2031" s="22"/>
      <c r="D2031" s="36"/>
      <c r="E2031" s="23"/>
      <c r="F2031" s="242"/>
      <c r="G2031" s="10"/>
      <c r="H2031" s="68"/>
      <c r="I2031" s="9"/>
      <c r="J2031" s="9"/>
      <c r="K2031" s="9"/>
      <c r="L2031" s="9"/>
      <c r="M2031" s="9"/>
    </row>
    <row r="2032" spans="1:13" ht="38.25" x14ac:dyDescent="0.2">
      <c r="A2032" s="259"/>
      <c r="B2032" s="28" t="s">
        <v>1227</v>
      </c>
      <c r="C2032" s="17"/>
      <c r="D2032" s="322"/>
      <c r="E2032" s="23"/>
      <c r="F2032" s="242"/>
      <c r="G2032" s="10"/>
      <c r="H2032" s="68"/>
      <c r="I2032" s="9"/>
      <c r="J2032" s="9"/>
      <c r="K2032" s="9"/>
      <c r="L2032" s="9"/>
      <c r="M2032" s="9"/>
    </row>
    <row r="2033" spans="1:13" ht="51" x14ac:dyDescent="0.2">
      <c r="A2033" s="259"/>
      <c r="B2033" s="28" t="s">
        <v>1228</v>
      </c>
      <c r="C2033" s="17"/>
      <c r="D2033" s="322"/>
      <c r="E2033" s="23"/>
      <c r="F2033" s="242"/>
      <c r="G2033" s="10"/>
      <c r="H2033" s="68"/>
      <c r="I2033" s="9"/>
      <c r="J2033" s="9"/>
      <c r="K2033" s="9"/>
      <c r="L2033" s="9"/>
      <c r="M2033" s="9"/>
    </row>
    <row r="2034" spans="1:13" ht="102" x14ac:dyDescent="0.2">
      <c r="A2034" s="274"/>
      <c r="B2034" s="28" t="s">
        <v>550</v>
      </c>
      <c r="C2034" s="17"/>
      <c r="D2034" s="322"/>
      <c r="E2034" s="23"/>
      <c r="F2034" s="242"/>
      <c r="G2034" s="10"/>
      <c r="H2034" s="68"/>
      <c r="I2034" s="9"/>
      <c r="J2034" s="9"/>
      <c r="K2034" s="9"/>
      <c r="L2034" s="9"/>
      <c r="M2034" s="9"/>
    </row>
    <row r="2035" spans="1:13" x14ac:dyDescent="0.2">
      <c r="A2035" s="396"/>
      <c r="B2035" s="381" t="s">
        <v>100</v>
      </c>
      <c r="C2035" s="363"/>
      <c r="D2035" s="405"/>
      <c r="E2035" s="366"/>
      <c r="F2035" s="353"/>
      <c r="G2035" s="10"/>
      <c r="H2035" s="68"/>
      <c r="I2035" s="9"/>
      <c r="J2035" s="9"/>
      <c r="K2035" s="9"/>
      <c r="L2035" s="9"/>
      <c r="M2035" s="9"/>
    </row>
    <row r="2036" spans="1:13" x14ac:dyDescent="0.2">
      <c r="A2036" s="281"/>
      <c r="B2036" s="69"/>
      <c r="C2036" s="17"/>
      <c r="D2036" s="312"/>
      <c r="E2036" s="23"/>
      <c r="F2036" s="255"/>
      <c r="G2036" s="10"/>
      <c r="H2036" s="68"/>
      <c r="I2036" s="9"/>
      <c r="J2036" s="9"/>
      <c r="K2036" s="9"/>
      <c r="L2036" s="9"/>
      <c r="M2036" s="9"/>
    </row>
    <row r="2037" spans="1:13" x14ac:dyDescent="0.2">
      <c r="A2037" s="274"/>
      <c r="B2037" s="67" t="s">
        <v>1491</v>
      </c>
      <c r="C2037" s="22"/>
      <c r="D2037" s="36"/>
      <c r="E2037" s="23"/>
      <c r="F2037" s="242"/>
      <c r="G2037" s="10"/>
      <c r="H2037" s="68"/>
      <c r="I2037" s="9"/>
      <c r="J2037" s="9"/>
      <c r="K2037" s="9"/>
      <c r="L2037" s="9"/>
      <c r="M2037" s="9"/>
    </row>
    <row r="2038" spans="1:13" x14ac:dyDescent="0.2">
      <c r="A2038" s="274"/>
      <c r="B2038" s="67" t="s">
        <v>259</v>
      </c>
      <c r="C2038" s="22"/>
      <c r="D2038" s="36"/>
      <c r="E2038" s="23"/>
      <c r="F2038" s="242"/>
      <c r="G2038" s="10"/>
      <c r="H2038" s="68"/>
      <c r="I2038" s="9"/>
      <c r="J2038" s="9"/>
      <c r="K2038" s="9"/>
      <c r="L2038" s="9"/>
      <c r="M2038" s="9"/>
    </row>
    <row r="2039" spans="1:13" x14ac:dyDescent="0.2">
      <c r="A2039" s="281"/>
      <c r="B2039" s="28" t="s">
        <v>551</v>
      </c>
      <c r="C2039" s="22" t="s">
        <v>33</v>
      </c>
      <c r="D2039" s="36">
        <v>1</v>
      </c>
      <c r="E2039" s="20"/>
      <c r="F2039" s="255">
        <f>SUM(D2039*E2039)</f>
        <v>0</v>
      </c>
      <c r="G2039" s="10"/>
      <c r="H2039" s="68"/>
      <c r="I2039" s="9"/>
      <c r="J2039" s="9"/>
      <c r="K2039" s="9"/>
      <c r="L2039" s="9"/>
      <c r="M2039" s="9"/>
    </row>
    <row r="2040" spans="1:13" x14ac:dyDescent="0.2">
      <c r="A2040" s="281"/>
      <c r="B2040" s="28"/>
      <c r="C2040" s="22"/>
      <c r="D2040" s="36"/>
      <c r="E2040" s="23"/>
      <c r="F2040" s="255"/>
      <c r="G2040" s="10"/>
      <c r="H2040" s="68"/>
      <c r="I2040" s="9"/>
      <c r="J2040" s="9"/>
      <c r="K2040" s="9"/>
      <c r="L2040" s="9"/>
      <c r="M2040" s="9"/>
    </row>
    <row r="2041" spans="1:13" ht="15" x14ac:dyDescent="0.2">
      <c r="A2041" s="274" t="s">
        <v>1552</v>
      </c>
      <c r="B2041" s="467" t="s">
        <v>1708</v>
      </c>
      <c r="C2041" s="22"/>
      <c r="D2041" s="36"/>
      <c r="E2041" s="23"/>
      <c r="F2041" s="255"/>
      <c r="G2041" s="10"/>
      <c r="H2041" s="68"/>
      <c r="I2041" s="9"/>
      <c r="J2041" s="9"/>
      <c r="K2041" s="9"/>
      <c r="L2041" s="9"/>
      <c r="M2041" s="9"/>
    </row>
    <row r="2042" spans="1:13" x14ac:dyDescent="0.2">
      <c r="A2042" s="281"/>
      <c r="B2042" s="28"/>
      <c r="C2042" s="22"/>
      <c r="D2042" s="36"/>
      <c r="E2042" s="23"/>
      <c r="F2042" s="255"/>
      <c r="G2042" s="10"/>
      <c r="H2042" s="68"/>
      <c r="I2042" s="9"/>
      <c r="J2042" s="9"/>
      <c r="K2042" s="9"/>
      <c r="L2042" s="9"/>
      <c r="M2042" s="9"/>
    </row>
    <row r="2043" spans="1:13" ht="15" x14ac:dyDescent="0.2">
      <c r="A2043" s="281"/>
      <c r="B2043" s="467" t="s">
        <v>1708</v>
      </c>
      <c r="C2043" s="22"/>
      <c r="D2043" s="36"/>
      <c r="E2043" s="23"/>
      <c r="F2043" s="255"/>
      <c r="G2043" s="10"/>
      <c r="H2043" s="68"/>
      <c r="I2043" s="9"/>
      <c r="J2043" s="9"/>
      <c r="K2043" s="9"/>
      <c r="L2043" s="9"/>
      <c r="M2043" s="9"/>
    </row>
    <row r="2044" spans="1:13" ht="15" x14ac:dyDescent="0.2">
      <c r="A2044" s="281"/>
      <c r="B2044" s="467"/>
      <c r="C2044" s="22"/>
      <c r="D2044" s="36"/>
      <c r="E2044" s="23"/>
      <c r="F2044" s="255"/>
      <c r="G2044" s="10"/>
      <c r="H2044" s="68"/>
      <c r="I2044" s="9"/>
      <c r="J2044" s="9"/>
      <c r="K2044" s="9"/>
      <c r="L2044" s="9"/>
      <c r="M2044" s="9"/>
    </row>
    <row r="2045" spans="1:13" ht="25.5" x14ac:dyDescent="0.2">
      <c r="A2045" s="281"/>
      <c r="B2045" s="468" t="s">
        <v>1712</v>
      </c>
      <c r="C2045" s="22"/>
      <c r="D2045" s="36"/>
      <c r="E2045" s="23"/>
      <c r="F2045" s="255"/>
      <c r="G2045" s="10"/>
      <c r="H2045" s="68"/>
      <c r="I2045" s="9"/>
      <c r="J2045" s="9"/>
      <c r="K2045" s="9"/>
      <c r="L2045" s="9"/>
      <c r="M2045" s="9"/>
    </row>
    <row r="2046" spans="1:13" ht="51" x14ac:dyDescent="0.2">
      <c r="A2046" s="281"/>
      <c r="B2046" s="468" t="s">
        <v>1715</v>
      </c>
      <c r="C2046" s="22"/>
      <c r="D2046" s="36"/>
      <c r="E2046" s="23"/>
      <c r="F2046" s="255"/>
      <c r="G2046" s="10"/>
      <c r="H2046" s="68"/>
      <c r="I2046" s="9"/>
      <c r="J2046" s="9"/>
      <c r="K2046" s="9"/>
      <c r="L2046" s="9"/>
      <c r="M2046" s="9"/>
    </row>
    <row r="2047" spans="1:13" ht="38.25" x14ac:dyDescent="0.2">
      <c r="A2047" s="281"/>
      <c r="B2047" s="468" t="s">
        <v>1713</v>
      </c>
      <c r="C2047" s="22"/>
      <c r="D2047" s="36"/>
      <c r="E2047" s="23"/>
      <c r="F2047" s="255"/>
      <c r="G2047" s="10"/>
      <c r="H2047" s="68"/>
      <c r="I2047" s="9"/>
      <c r="J2047" s="9"/>
      <c r="K2047" s="9"/>
      <c r="L2047" s="9"/>
      <c r="M2047" s="9"/>
    </row>
    <row r="2048" spans="1:13" ht="63.75" x14ac:dyDescent="0.2">
      <c r="A2048" s="281"/>
      <c r="B2048" s="468" t="s">
        <v>1714</v>
      </c>
      <c r="C2048" s="22"/>
      <c r="D2048" s="36"/>
      <c r="E2048" s="23"/>
      <c r="F2048" s="255"/>
      <c r="G2048" s="10"/>
      <c r="H2048" s="68"/>
      <c r="I2048" s="9"/>
      <c r="J2048" s="9"/>
      <c r="K2048" s="9"/>
      <c r="L2048" s="9"/>
      <c r="M2048" s="9"/>
    </row>
    <row r="2049" spans="1:13" ht="63.75" x14ac:dyDescent="0.2">
      <c r="A2049" s="281"/>
      <c r="B2049" s="468" t="s">
        <v>1716</v>
      </c>
      <c r="C2049" s="22"/>
      <c r="D2049" s="36"/>
      <c r="E2049" s="23"/>
      <c r="F2049" s="255"/>
      <c r="G2049" s="10"/>
      <c r="H2049" s="68"/>
      <c r="I2049" s="9"/>
      <c r="J2049" s="9"/>
      <c r="K2049" s="9"/>
      <c r="L2049" s="9"/>
      <c r="M2049" s="9"/>
    </row>
    <row r="2050" spans="1:13" x14ac:dyDescent="0.2">
      <c r="A2050" s="281"/>
      <c r="B2050" s="468" t="s">
        <v>1710</v>
      </c>
      <c r="C2050" s="22"/>
      <c r="D2050" s="36"/>
      <c r="E2050" s="23"/>
      <c r="F2050" s="255"/>
      <c r="G2050" s="10"/>
      <c r="H2050" s="68"/>
      <c r="I2050" s="9"/>
      <c r="J2050" s="9"/>
      <c r="K2050" s="9"/>
      <c r="L2050" s="9"/>
      <c r="M2050" s="9"/>
    </row>
    <row r="2051" spans="1:13" x14ac:dyDescent="0.2">
      <c r="A2051" s="281"/>
      <c r="B2051" s="468" t="s">
        <v>100</v>
      </c>
      <c r="C2051" s="22"/>
      <c r="D2051" s="36"/>
      <c r="E2051" s="23"/>
      <c r="F2051" s="255"/>
      <c r="G2051" s="10"/>
      <c r="H2051" s="68"/>
      <c r="I2051" s="9"/>
      <c r="J2051" s="9"/>
      <c r="K2051" s="9"/>
      <c r="L2051" s="9"/>
      <c r="M2051" s="9"/>
    </row>
    <row r="2052" spans="1:13" x14ac:dyDescent="0.2">
      <c r="A2052" s="281"/>
      <c r="B2052" s="28"/>
      <c r="C2052" s="22"/>
      <c r="D2052" s="36"/>
      <c r="E2052" s="23"/>
      <c r="F2052" s="255"/>
      <c r="G2052" s="10"/>
      <c r="H2052" s="68"/>
      <c r="I2052" s="9"/>
      <c r="J2052" s="9"/>
      <c r="K2052" s="9"/>
      <c r="L2052" s="9"/>
      <c r="M2052" s="9"/>
    </row>
    <row r="2053" spans="1:13" x14ac:dyDescent="0.2">
      <c r="A2053" s="281"/>
      <c r="B2053" s="28" t="s">
        <v>1711</v>
      </c>
      <c r="C2053" s="22"/>
      <c r="D2053" s="36"/>
      <c r="E2053" s="23"/>
      <c r="F2053" s="255"/>
      <c r="G2053" s="10"/>
      <c r="H2053" s="68"/>
      <c r="I2053" s="9"/>
      <c r="J2053" s="9"/>
      <c r="K2053" s="9"/>
      <c r="L2053" s="9"/>
      <c r="M2053" s="9"/>
    </row>
    <row r="2054" spans="1:13" ht="25.5" x14ac:dyDescent="0.2">
      <c r="A2054" s="281"/>
      <c r="B2054" s="28" t="s">
        <v>1718</v>
      </c>
      <c r="C2054" s="22"/>
      <c r="D2054" s="36"/>
      <c r="E2054" s="23"/>
      <c r="F2054" s="255"/>
      <c r="G2054" s="10"/>
      <c r="H2054" s="68"/>
      <c r="I2054" s="9"/>
      <c r="J2054" s="9"/>
      <c r="K2054" s="9"/>
      <c r="L2054" s="9"/>
      <c r="M2054" s="9"/>
    </row>
    <row r="2055" spans="1:13" x14ac:dyDescent="0.2">
      <c r="A2055" s="281"/>
      <c r="B2055" s="28" t="s">
        <v>1717</v>
      </c>
      <c r="C2055" s="22" t="s">
        <v>33</v>
      </c>
      <c r="D2055" s="36">
        <v>1</v>
      </c>
      <c r="E2055" s="23"/>
      <c r="F2055" s="255"/>
      <c r="G2055" s="10"/>
      <c r="H2055" s="68"/>
      <c r="I2055" s="9"/>
      <c r="J2055" s="9"/>
      <c r="K2055" s="9"/>
      <c r="L2055" s="9"/>
      <c r="M2055" s="9"/>
    </row>
    <row r="2056" spans="1:13" x14ac:dyDescent="0.2">
      <c r="A2056" s="281"/>
      <c r="B2056" s="28"/>
      <c r="C2056" s="22"/>
      <c r="D2056" s="36"/>
      <c r="E2056" s="23"/>
      <c r="F2056" s="255"/>
      <c r="G2056" s="10"/>
      <c r="H2056" s="68"/>
      <c r="I2056" s="9"/>
      <c r="J2056" s="9"/>
      <c r="K2056" s="9"/>
      <c r="L2056" s="9"/>
      <c r="M2056" s="9"/>
    </row>
    <row r="2057" spans="1:13" ht="15" x14ac:dyDescent="0.2">
      <c r="A2057" s="259" t="s">
        <v>1553</v>
      </c>
      <c r="B2057" s="306" t="s">
        <v>1231</v>
      </c>
      <c r="C2057" s="22"/>
      <c r="D2057" s="36"/>
      <c r="E2057" s="23"/>
      <c r="F2057" s="255"/>
      <c r="G2057" s="10"/>
      <c r="H2057" s="68"/>
      <c r="I2057" s="9"/>
      <c r="J2057" s="9"/>
      <c r="K2057" s="9"/>
      <c r="L2057" s="9"/>
      <c r="M2057" s="9"/>
    </row>
    <row r="2058" spans="1:13" x14ac:dyDescent="0.2">
      <c r="A2058" s="259"/>
      <c r="B2058" s="28"/>
      <c r="C2058" s="22"/>
      <c r="D2058" s="36"/>
      <c r="E2058" s="23"/>
      <c r="F2058" s="255"/>
      <c r="G2058" s="10"/>
      <c r="H2058" s="68"/>
      <c r="I2058" s="9"/>
      <c r="J2058" s="9"/>
      <c r="K2058" s="9"/>
      <c r="L2058" s="9"/>
      <c r="M2058" s="9"/>
    </row>
    <row r="2059" spans="1:13" s="74" customFormat="1" ht="38.25" x14ac:dyDescent="0.2">
      <c r="A2059" s="259"/>
      <c r="B2059" s="20" t="s">
        <v>1232</v>
      </c>
      <c r="C2059" s="25"/>
      <c r="D2059" s="65"/>
      <c r="E2059" s="23"/>
      <c r="F2059" s="235"/>
      <c r="H2059" s="68"/>
      <c r="I2059" s="9"/>
      <c r="J2059" s="9"/>
      <c r="K2059" s="9"/>
      <c r="L2059" s="9"/>
      <c r="M2059" s="9"/>
    </row>
    <row r="2060" spans="1:13" s="74" customFormat="1" ht="38.25" x14ac:dyDescent="0.2">
      <c r="A2060" s="259"/>
      <c r="B2060" s="20" t="s">
        <v>1233</v>
      </c>
      <c r="C2060" s="25"/>
      <c r="D2060" s="65"/>
      <c r="E2060" s="23"/>
      <c r="F2060" s="235"/>
      <c r="H2060" s="68"/>
      <c r="I2060" s="9"/>
      <c r="J2060" s="9"/>
      <c r="K2060" s="9"/>
      <c r="L2060" s="9"/>
      <c r="M2060" s="9"/>
    </row>
    <row r="2061" spans="1:13" s="74" customFormat="1" ht="51" x14ac:dyDescent="0.2">
      <c r="A2061" s="259"/>
      <c r="B2061" s="20" t="s">
        <v>192</v>
      </c>
      <c r="C2061" s="25"/>
      <c r="D2061" s="65"/>
      <c r="E2061" s="23"/>
      <c r="F2061" s="235"/>
      <c r="H2061" s="68"/>
      <c r="I2061" s="9"/>
      <c r="J2061" s="9"/>
      <c r="K2061" s="9"/>
      <c r="L2061" s="9"/>
      <c r="M2061" s="9"/>
    </row>
    <row r="2062" spans="1:13" s="74" customFormat="1" x14ac:dyDescent="0.2">
      <c r="A2062" s="234"/>
      <c r="B2062" s="12" t="s">
        <v>6</v>
      </c>
      <c r="C2062" s="25"/>
      <c r="D2062" s="65"/>
      <c r="E2062" s="23"/>
      <c r="F2062" s="235"/>
      <c r="H2062" s="68"/>
      <c r="I2062" s="9"/>
      <c r="J2062" s="9"/>
      <c r="K2062" s="9"/>
      <c r="L2062" s="9"/>
      <c r="M2062" s="9"/>
    </row>
    <row r="2063" spans="1:13" s="74" customFormat="1" x14ac:dyDescent="0.2">
      <c r="A2063" s="234"/>
      <c r="B2063" s="12"/>
      <c r="C2063" s="25"/>
      <c r="D2063" s="65"/>
      <c r="E2063" s="23"/>
      <c r="F2063" s="235"/>
      <c r="H2063" s="68"/>
      <c r="I2063" s="9"/>
      <c r="J2063" s="9"/>
      <c r="K2063" s="9"/>
      <c r="L2063" s="9"/>
      <c r="M2063" s="9"/>
    </row>
    <row r="2064" spans="1:13" s="74" customFormat="1" x14ac:dyDescent="0.2">
      <c r="A2064" s="234"/>
      <c r="B2064" s="20" t="s">
        <v>1492</v>
      </c>
      <c r="C2064" s="25"/>
      <c r="D2064" s="65"/>
      <c r="E2064" s="23"/>
      <c r="F2064" s="235"/>
      <c r="H2064" s="68"/>
      <c r="I2064" s="9"/>
      <c r="J2064" s="9"/>
      <c r="K2064" s="9"/>
      <c r="L2064" s="9"/>
      <c r="M2064" s="9"/>
    </row>
    <row r="2065" spans="1:13" s="74" customFormat="1" x14ac:dyDescent="0.2">
      <c r="A2065" s="234"/>
      <c r="B2065" s="12" t="s">
        <v>163</v>
      </c>
      <c r="C2065" s="27" t="s">
        <v>33</v>
      </c>
      <c r="D2065" s="330">
        <v>1</v>
      </c>
      <c r="E2065" s="12"/>
      <c r="F2065" s="249">
        <f>E2065*D2065</f>
        <v>0</v>
      </c>
      <c r="G2065" s="11"/>
      <c r="H2065" s="68"/>
      <c r="I2065" s="9"/>
      <c r="J2065" s="9"/>
      <c r="K2065" s="9"/>
      <c r="L2065" s="9"/>
      <c r="M2065" s="9"/>
    </row>
    <row r="2066" spans="1:13" s="74" customFormat="1" x14ac:dyDescent="0.2">
      <c r="A2066" s="234"/>
      <c r="B2066" s="12"/>
      <c r="C2066" s="27"/>
      <c r="D2066" s="330"/>
      <c r="E2066" s="23"/>
      <c r="F2066" s="249"/>
      <c r="G2066" s="11"/>
      <c r="H2066" s="68"/>
      <c r="I2066" s="9"/>
      <c r="J2066" s="9"/>
      <c r="K2066" s="9"/>
      <c r="L2066" s="9"/>
      <c r="M2066" s="9"/>
    </row>
    <row r="2067" spans="1:13" s="74" customFormat="1" ht="15" x14ac:dyDescent="0.2">
      <c r="A2067" s="259" t="s">
        <v>1673</v>
      </c>
      <c r="B2067" s="35" t="s">
        <v>1234</v>
      </c>
      <c r="C2067" s="27"/>
      <c r="D2067" s="330"/>
      <c r="E2067" s="23"/>
      <c r="F2067" s="249"/>
      <c r="G2067" s="11"/>
      <c r="H2067" s="68"/>
      <c r="I2067" s="9"/>
      <c r="J2067" s="9"/>
      <c r="K2067" s="9"/>
      <c r="L2067" s="9"/>
      <c r="M2067" s="9"/>
    </row>
    <row r="2068" spans="1:13" s="74" customFormat="1" x14ac:dyDescent="0.2">
      <c r="A2068" s="234"/>
      <c r="B2068" s="12"/>
      <c r="C2068" s="27"/>
      <c r="D2068" s="330"/>
      <c r="E2068" s="23"/>
      <c r="F2068" s="249"/>
      <c r="G2068" s="11"/>
      <c r="H2068" s="68"/>
      <c r="I2068" s="9"/>
      <c r="J2068" s="9"/>
      <c r="K2068" s="9"/>
      <c r="L2068" s="9"/>
      <c r="M2068" s="9"/>
    </row>
    <row r="2069" spans="1:13" s="74" customFormat="1" ht="38.25" x14ac:dyDescent="0.2">
      <c r="A2069" s="259"/>
      <c r="B2069" s="28" t="s">
        <v>176</v>
      </c>
      <c r="C2069" s="22"/>
      <c r="D2069" s="36"/>
      <c r="E2069" s="23"/>
      <c r="F2069" s="249"/>
      <c r="G2069" s="11"/>
      <c r="H2069" s="68"/>
      <c r="I2069" s="9"/>
      <c r="J2069" s="9"/>
      <c r="K2069" s="9"/>
      <c r="L2069" s="9"/>
      <c r="M2069" s="9"/>
    </row>
    <row r="2070" spans="1:13" s="74" customFormat="1" ht="51" x14ac:dyDescent="0.2">
      <c r="A2070" s="284"/>
      <c r="B2070" s="28" t="s">
        <v>219</v>
      </c>
      <c r="C2070" s="22"/>
      <c r="D2070" s="36"/>
      <c r="E2070" s="23"/>
      <c r="F2070" s="249"/>
      <c r="G2070" s="11"/>
      <c r="H2070" s="68"/>
      <c r="I2070" s="9"/>
      <c r="J2070" s="9"/>
      <c r="K2070" s="9"/>
      <c r="L2070" s="9"/>
      <c r="M2070" s="9"/>
    </row>
    <row r="2071" spans="1:13" s="74" customFormat="1" ht="51" x14ac:dyDescent="0.2">
      <c r="A2071" s="284"/>
      <c r="B2071" s="28" t="s">
        <v>261</v>
      </c>
      <c r="C2071" s="22"/>
      <c r="D2071" s="36"/>
      <c r="E2071" s="23"/>
      <c r="F2071" s="249"/>
      <c r="G2071" s="11"/>
      <c r="H2071" s="68"/>
      <c r="I2071" s="9"/>
      <c r="J2071" s="9"/>
      <c r="K2071" s="9"/>
      <c r="L2071" s="9"/>
      <c r="M2071" s="9"/>
    </row>
    <row r="2072" spans="1:13" s="74" customFormat="1" ht="25.5" x14ac:dyDescent="0.2">
      <c r="A2072" s="284"/>
      <c r="B2072" s="34" t="s">
        <v>102</v>
      </c>
      <c r="C2072" s="22"/>
      <c r="D2072" s="36"/>
      <c r="E2072" s="23"/>
      <c r="F2072" s="249"/>
      <c r="G2072" s="11"/>
      <c r="H2072" s="68"/>
      <c r="I2072" s="9"/>
      <c r="J2072" s="9"/>
      <c r="K2072" s="9"/>
      <c r="L2072" s="9"/>
      <c r="M2072" s="9"/>
    </row>
    <row r="2073" spans="1:13" s="74" customFormat="1" x14ac:dyDescent="0.2">
      <c r="A2073" s="284"/>
      <c r="B2073" s="34"/>
      <c r="C2073" s="22"/>
      <c r="D2073" s="36"/>
      <c r="E2073" s="23"/>
      <c r="F2073" s="249"/>
      <c r="G2073" s="11"/>
      <c r="H2073" s="68"/>
      <c r="I2073" s="9"/>
      <c r="J2073" s="9"/>
      <c r="K2073" s="9"/>
      <c r="L2073" s="9"/>
      <c r="M2073" s="9"/>
    </row>
    <row r="2074" spans="1:13" s="74" customFormat="1" x14ac:dyDescent="0.2">
      <c r="A2074" s="284"/>
      <c r="B2074" s="20" t="s">
        <v>666</v>
      </c>
      <c r="C2074" s="17"/>
      <c r="D2074" s="36"/>
      <c r="E2074" s="23"/>
      <c r="F2074" s="249"/>
      <c r="G2074" s="11"/>
      <c r="H2074" s="68"/>
      <c r="I2074" s="9"/>
      <c r="J2074" s="9"/>
      <c r="K2074" s="9"/>
      <c r="L2074" s="9"/>
      <c r="M2074" s="9"/>
    </row>
    <row r="2075" spans="1:13" s="74" customFormat="1" x14ac:dyDescent="0.2">
      <c r="A2075" s="284"/>
      <c r="B2075" s="20" t="s">
        <v>1493</v>
      </c>
      <c r="C2075" s="17" t="s">
        <v>33</v>
      </c>
      <c r="D2075" s="36">
        <v>1</v>
      </c>
      <c r="E2075" s="12"/>
      <c r="F2075" s="249">
        <f>+D2075*E2075</f>
        <v>0</v>
      </c>
      <c r="G2075" s="11"/>
      <c r="H2075" s="68"/>
      <c r="I2075" s="9"/>
      <c r="J2075" s="9"/>
      <c r="K2075" s="9"/>
      <c r="L2075" s="9"/>
      <c r="M2075" s="9"/>
    </row>
    <row r="2076" spans="1:13" s="74" customFormat="1" x14ac:dyDescent="0.2">
      <c r="A2076" s="284"/>
      <c r="B2076" s="20"/>
      <c r="C2076" s="17"/>
      <c r="D2076" s="36"/>
      <c r="E2076" s="12"/>
      <c r="F2076" s="249"/>
      <c r="G2076" s="11"/>
      <c r="H2076" s="68"/>
      <c r="I2076" s="9"/>
      <c r="J2076" s="9"/>
      <c r="K2076" s="9"/>
      <c r="L2076" s="9"/>
      <c r="M2076" s="9"/>
    </row>
    <row r="2077" spans="1:13" s="74" customFormat="1" x14ac:dyDescent="0.2">
      <c r="A2077" s="284"/>
      <c r="B2077" s="20" t="s">
        <v>1494</v>
      </c>
      <c r="C2077" s="17"/>
      <c r="D2077" s="36"/>
      <c r="E2077" s="23"/>
      <c r="F2077" s="249"/>
      <c r="G2077" s="11"/>
      <c r="H2077" s="68"/>
      <c r="I2077" s="9"/>
      <c r="J2077" s="9"/>
      <c r="K2077" s="9"/>
      <c r="L2077" s="9"/>
      <c r="M2077" s="9"/>
    </row>
    <row r="2078" spans="1:13" s="74" customFormat="1" x14ac:dyDescent="0.2">
      <c r="A2078" s="284"/>
      <c r="B2078" s="20" t="s">
        <v>1495</v>
      </c>
      <c r="C2078" s="17" t="s">
        <v>33</v>
      </c>
      <c r="D2078" s="36">
        <v>1</v>
      </c>
      <c r="E2078" s="12"/>
      <c r="F2078" s="249">
        <f>+D2078*E2078</f>
        <v>0</v>
      </c>
      <c r="G2078" s="11"/>
      <c r="H2078" s="68"/>
      <c r="I2078" s="9"/>
      <c r="J2078" s="9"/>
      <c r="K2078" s="9"/>
      <c r="L2078" s="9"/>
      <c r="M2078" s="9"/>
    </row>
    <row r="2079" spans="1:13" s="74" customFormat="1" x14ac:dyDescent="0.2">
      <c r="A2079" s="284"/>
      <c r="B2079" s="20"/>
      <c r="C2079" s="17"/>
      <c r="D2079" s="36"/>
      <c r="E2079" s="12"/>
      <c r="F2079" s="249"/>
      <c r="G2079" s="11"/>
      <c r="H2079" s="68"/>
      <c r="I2079" s="9"/>
      <c r="J2079" s="9"/>
      <c r="K2079" s="9"/>
      <c r="L2079" s="9"/>
      <c r="M2079" s="9"/>
    </row>
    <row r="2080" spans="1:13" s="74" customFormat="1" ht="15" x14ac:dyDescent="0.2">
      <c r="A2080" s="259" t="s">
        <v>1709</v>
      </c>
      <c r="B2080" s="35" t="s">
        <v>1497</v>
      </c>
      <c r="C2080" s="27"/>
      <c r="D2080" s="330"/>
      <c r="E2080" s="23"/>
      <c r="F2080" s="249"/>
      <c r="G2080" s="11"/>
      <c r="H2080" s="68"/>
      <c r="I2080" s="9"/>
      <c r="J2080" s="9"/>
      <c r="K2080" s="9"/>
      <c r="L2080" s="9"/>
      <c r="M2080" s="9"/>
    </row>
    <row r="2081" spans="1:13" s="74" customFormat="1" x14ac:dyDescent="0.2">
      <c r="A2081" s="284"/>
      <c r="B2081" s="20"/>
      <c r="C2081" s="17"/>
      <c r="D2081" s="36"/>
      <c r="E2081" s="12"/>
      <c r="F2081" s="249"/>
      <c r="G2081" s="11"/>
      <c r="H2081" s="68"/>
      <c r="I2081" s="9"/>
      <c r="J2081" s="9"/>
      <c r="K2081" s="9"/>
      <c r="L2081" s="9"/>
      <c r="M2081" s="9"/>
    </row>
    <row r="2082" spans="1:13" s="74" customFormat="1" ht="63.75" x14ac:dyDescent="0.2">
      <c r="A2082" s="259"/>
      <c r="B2082" s="28" t="s">
        <v>1498</v>
      </c>
      <c r="C2082" s="22"/>
      <c r="D2082" s="36"/>
      <c r="E2082" s="23"/>
      <c r="F2082" s="249"/>
      <c r="G2082" s="11"/>
      <c r="H2082" s="68"/>
      <c r="I2082" s="9"/>
      <c r="J2082" s="9"/>
      <c r="K2082" s="9"/>
      <c r="L2082" s="9"/>
      <c r="M2082" s="9"/>
    </row>
    <row r="2083" spans="1:13" s="74" customFormat="1" ht="63.75" x14ac:dyDescent="0.2">
      <c r="A2083" s="284"/>
      <c r="B2083" s="28" t="s">
        <v>1499</v>
      </c>
      <c r="C2083" s="22"/>
      <c r="D2083" s="36"/>
      <c r="E2083" s="23"/>
      <c r="F2083" s="249"/>
      <c r="G2083" s="11"/>
      <c r="H2083" s="68"/>
      <c r="I2083" s="9"/>
      <c r="J2083" s="9"/>
      <c r="K2083" s="9"/>
      <c r="L2083" s="9"/>
      <c r="M2083" s="9"/>
    </row>
    <row r="2084" spans="1:13" s="74" customFormat="1" ht="38.25" x14ac:dyDescent="0.2">
      <c r="A2084" s="284"/>
      <c r="B2084" s="28" t="s">
        <v>1500</v>
      </c>
      <c r="C2084" s="22"/>
      <c r="D2084" s="36"/>
      <c r="E2084" s="23"/>
      <c r="F2084" s="249"/>
      <c r="G2084" s="11"/>
      <c r="H2084" s="68"/>
      <c r="I2084" s="9"/>
      <c r="J2084" s="9"/>
      <c r="K2084" s="9"/>
      <c r="L2084" s="9"/>
      <c r="M2084" s="9"/>
    </row>
    <row r="2085" spans="1:13" s="74" customFormat="1" ht="25.5" x14ac:dyDescent="0.2">
      <c r="A2085" s="284"/>
      <c r="B2085" s="34" t="s">
        <v>102</v>
      </c>
      <c r="C2085" s="22"/>
      <c r="D2085" s="36"/>
      <c r="E2085" s="23"/>
      <c r="F2085" s="249"/>
      <c r="G2085" s="11"/>
      <c r="H2085" s="68"/>
      <c r="I2085" s="9"/>
      <c r="J2085" s="9"/>
      <c r="K2085" s="9"/>
      <c r="L2085" s="9"/>
      <c r="M2085" s="9"/>
    </row>
    <row r="2086" spans="1:13" s="74" customFormat="1" x14ac:dyDescent="0.2">
      <c r="A2086" s="284"/>
      <c r="B2086" s="28"/>
      <c r="C2086" s="22"/>
      <c r="D2086" s="36"/>
      <c r="E2086" s="23"/>
      <c r="F2086" s="249"/>
      <c r="G2086" s="11"/>
      <c r="H2086" s="68"/>
      <c r="I2086" s="9"/>
      <c r="J2086" s="9"/>
      <c r="K2086" s="9"/>
      <c r="L2086" s="9"/>
      <c r="M2086" s="9"/>
    </row>
    <row r="2087" spans="1:13" s="74" customFormat="1" x14ac:dyDescent="0.2">
      <c r="A2087" s="284"/>
      <c r="B2087" s="20" t="s">
        <v>1501</v>
      </c>
      <c r="C2087" s="17"/>
      <c r="D2087" s="36"/>
      <c r="E2087" s="23"/>
      <c r="F2087" s="249"/>
      <c r="G2087" s="11"/>
      <c r="H2087" s="68"/>
      <c r="I2087" s="9"/>
      <c r="J2087" s="9"/>
      <c r="K2087" s="9"/>
      <c r="L2087" s="9"/>
      <c r="M2087" s="9"/>
    </row>
    <row r="2088" spans="1:13" s="74" customFormat="1" ht="38.25" x14ac:dyDescent="0.2">
      <c r="A2088" s="284"/>
      <c r="B2088" s="20" t="s">
        <v>1502</v>
      </c>
      <c r="C2088" s="17"/>
      <c r="D2088" s="36"/>
      <c r="E2088" s="23"/>
      <c r="F2088" s="249"/>
      <c r="G2088" s="11"/>
      <c r="H2088" s="68"/>
      <c r="I2088" s="9"/>
      <c r="J2088" s="9"/>
      <c r="K2088" s="9"/>
      <c r="L2088" s="9"/>
      <c r="M2088" s="9"/>
    </row>
    <row r="2089" spans="1:13" s="74" customFormat="1" x14ac:dyDescent="0.2">
      <c r="A2089" s="284"/>
      <c r="B2089" s="20" t="s">
        <v>1503</v>
      </c>
      <c r="C2089" s="17" t="s">
        <v>33</v>
      </c>
      <c r="D2089" s="36">
        <v>5</v>
      </c>
      <c r="E2089" s="12"/>
      <c r="F2089" s="249">
        <f>+D2089*E2089</f>
        <v>0</v>
      </c>
      <c r="G2089" s="11"/>
      <c r="H2089" s="68"/>
      <c r="I2089" s="9"/>
      <c r="J2089" s="9"/>
      <c r="K2089" s="9"/>
      <c r="L2089" s="9"/>
      <c r="M2089" s="9"/>
    </row>
    <row r="2090" spans="1:13" s="74" customFormat="1" x14ac:dyDescent="0.2">
      <c r="A2090" s="284"/>
      <c r="B2090" s="20"/>
      <c r="C2090" s="17"/>
      <c r="D2090" s="36"/>
      <c r="E2090" s="12"/>
      <c r="F2090" s="249"/>
      <c r="G2090" s="11"/>
      <c r="H2090" s="68"/>
      <c r="I2090" s="9"/>
      <c r="J2090" s="9"/>
      <c r="K2090" s="9"/>
      <c r="L2090" s="9"/>
      <c r="M2090" s="9"/>
    </row>
    <row r="2091" spans="1:13" s="74" customFormat="1" x14ac:dyDescent="0.2">
      <c r="A2091" s="284"/>
      <c r="B2091" s="20" t="s">
        <v>1504</v>
      </c>
      <c r="C2091" s="17"/>
      <c r="D2091" s="36"/>
      <c r="E2091" s="23"/>
      <c r="F2091" s="249"/>
      <c r="G2091" s="11"/>
      <c r="H2091" s="68"/>
      <c r="I2091" s="9"/>
      <c r="J2091" s="9"/>
      <c r="K2091" s="9"/>
      <c r="L2091" s="9"/>
      <c r="M2091" s="9"/>
    </row>
    <row r="2092" spans="1:13" s="74" customFormat="1" ht="25.5" x14ac:dyDescent="0.2">
      <c r="A2092" s="284"/>
      <c r="B2092" s="20" t="s">
        <v>1505</v>
      </c>
      <c r="C2092" s="17"/>
      <c r="D2092" s="36"/>
      <c r="E2092" s="23"/>
      <c r="F2092" s="249"/>
      <c r="G2092" s="11"/>
      <c r="H2092" s="68"/>
      <c r="I2092" s="9"/>
      <c r="J2092" s="9"/>
      <c r="K2092" s="9"/>
      <c r="L2092" s="9"/>
      <c r="M2092" s="9"/>
    </row>
    <row r="2093" spans="1:13" s="74" customFormat="1" x14ac:dyDescent="0.2">
      <c r="A2093" s="284"/>
      <c r="B2093" s="20" t="s">
        <v>1506</v>
      </c>
      <c r="C2093" s="17" t="s">
        <v>33</v>
      </c>
      <c r="D2093" s="36">
        <v>1</v>
      </c>
      <c r="E2093" s="12"/>
      <c r="F2093" s="249">
        <f>+D2093*E2093</f>
        <v>0</v>
      </c>
      <c r="G2093" s="11"/>
      <c r="H2093" s="68"/>
      <c r="I2093" s="9"/>
      <c r="J2093" s="9"/>
      <c r="K2093" s="9"/>
      <c r="L2093" s="9"/>
      <c r="M2093" s="9"/>
    </row>
    <row r="2094" spans="1:13" s="74" customFormat="1" ht="13.5" thickBot="1" x14ac:dyDescent="0.25">
      <c r="A2094" s="284"/>
      <c r="B2094" s="28"/>
      <c r="C2094" s="22"/>
      <c r="D2094" s="36"/>
      <c r="E2094" s="23"/>
      <c r="F2094" s="249"/>
      <c r="G2094" s="11"/>
      <c r="H2094" s="68"/>
      <c r="I2094" s="9"/>
      <c r="J2094" s="9"/>
      <c r="K2094" s="9"/>
      <c r="L2094" s="9"/>
      <c r="M2094" s="9"/>
    </row>
    <row r="2095" spans="1:13" s="74" customFormat="1" ht="15.75" thickBot="1" x14ac:dyDescent="0.25">
      <c r="A2095" s="261" t="str">
        <f>A1701</f>
        <v>10.</v>
      </c>
      <c r="B2095" s="49" t="s">
        <v>60</v>
      </c>
      <c r="C2095" s="50"/>
      <c r="D2095" s="324"/>
      <c r="E2095" s="146"/>
      <c r="F2095" s="244">
        <f>SUM(F1722:F2094)</f>
        <v>0</v>
      </c>
      <c r="G2095" s="198"/>
      <c r="H2095" s="68"/>
      <c r="I2095" s="9"/>
      <c r="J2095" s="9"/>
      <c r="K2095" s="9"/>
      <c r="L2095" s="9"/>
      <c r="M2095" s="9"/>
    </row>
    <row r="2096" spans="1:13" s="74" customFormat="1" ht="15.75" thickBot="1" x14ac:dyDescent="0.25">
      <c r="A2096" s="262" t="s">
        <v>70</v>
      </c>
      <c r="B2096" s="49" t="s">
        <v>29</v>
      </c>
      <c r="C2096" s="50"/>
      <c r="D2096" s="324"/>
      <c r="E2096" s="140"/>
      <c r="F2096" s="273"/>
      <c r="G2096" s="198"/>
      <c r="H2096" s="8"/>
      <c r="I2096" s="8"/>
      <c r="J2096" s="8"/>
      <c r="K2096" s="8"/>
      <c r="L2096" s="8"/>
      <c r="M2096" s="8"/>
    </row>
    <row r="2097" spans="1:13" s="74" customFormat="1" x14ac:dyDescent="0.2">
      <c r="A2097" s="234"/>
      <c r="B2097" s="25"/>
      <c r="C2097" s="25"/>
      <c r="D2097" s="65"/>
      <c r="E2097" s="64"/>
      <c r="F2097" s="235"/>
      <c r="H2097" s="8"/>
      <c r="I2097" s="8"/>
      <c r="J2097" s="8"/>
      <c r="K2097" s="8"/>
      <c r="L2097" s="8"/>
      <c r="M2097" s="8"/>
    </row>
    <row r="2098" spans="1:13" s="74" customFormat="1" ht="76.5" x14ac:dyDescent="0.2">
      <c r="A2098" s="234" t="s">
        <v>71</v>
      </c>
      <c r="B2098" s="21" t="s">
        <v>697</v>
      </c>
      <c r="C2098" s="17"/>
      <c r="D2098" s="455"/>
      <c r="E2098" s="12"/>
      <c r="F2098" s="249"/>
      <c r="G2098" s="11"/>
      <c r="I2098" s="8"/>
      <c r="J2098" s="8"/>
      <c r="K2098" s="8"/>
      <c r="L2098" s="8"/>
      <c r="M2098" s="8"/>
    </row>
    <row r="2099" spans="1:13" s="74" customFormat="1" ht="63.75" x14ac:dyDescent="0.2">
      <c r="A2099" s="234"/>
      <c r="B2099" s="21" t="s">
        <v>563</v>
      </c>
      <c r="C2099" s="17"/>
      <c r="D2099" s="18"/>
      <c r="E2099" s="12"/>
      <c r="F2099" s="249"/>
      <c r="G2099" s="11"/>
      <c r="I2099" s="8"/>
      <c r="J2099" s="8"/>
      <c r="K2099" s="8"/>
      <c r="L2099" s="8"/>
      <c r="M2099" s="8"/>
    </row>
    <row r="2100" spans="1:13" s="74" customFormat="1" ht="76.5" x14ac:dyDescent="0.2">
      <c r="A2100" s="234"/>
      <c r="B2100" s="21" t="s">
        <v>564</v>
      </c>
      <c r="C2100" s="17"/>
      <c r="D2100" s="18"/>
      <c r="E2100" s="12"/>
      <c r="F2100" s="249"/>
      <c r="G2100" s="11"/>
      <c r="I2100" s="8"/>
      <c r="J2100" s="8"/>
      <c r="K2100" s="8"/>
      <c r="L2100" s="8"/>
      <c r="M2100" s="8"/>
    </row>
    <row r="2101" spans="1:13" s="74" customFormat="1" ht="25.5" x14ac:dyDescent="0.2">
      <c r="A2101" s="234"/>
      <c r="B2101" s="21" t="s">
        <v>565</v>
      </c>
      <c r="C2101" s="17"/>
      <c r="D2101" s="18"/>
      <c r="E2101" s="12"/>
      <c r="F2101" s="249"/>
      <c r="G2101" s="11"/>
      <c r="I2101" s="8"/>
      <c r="J2101" s="8"/>
      <c r="K2101" s="8"/>
      <c r="L2101" s="8"/>
      <c r="M2101" s="8"/>
    </row>
    <row r="2102" spans="1:13" s="74" customFormat="1" ht="25.5" x14ac:dyDescent="0.2">
      <c r="A2102" s="234"/>
      <c r="B2102" s="25" t="s">
        <v>566</v>
      </c>
      <c r="C2102" s="17"/>
      <c r="D2102" s="18"/>
      <c r="E2102" s="12"/>
      <c r="F2102" s="249"/>
      <c r="G2102" s="11"/>
      <c r="I2102" s="8"/>
      <c r="J2102" s="8"/>
      <c r="K2102" s="8"/>
      <c r="L2102" s="8"/>
      <c r="M2102" s="8"/>
    </row>
    <row r="2103" spans="1:13" s="74" customFormat="1" x14ac:dyDescent="0.2">
      <c r="A2103" s="234"/>
      <c r="B2103" s="25"/>
      <c r="C2103" s="17"/>
      <c r="D2103" s="18"/>
      <c r="E2103" s="12"/>
      <c r="F2103" s="249"/>
      <c r="G2103" s="11"/>
      <c r="H2103" s="8"/>
      <c r="I2103" s="8"/>
      <c r="J2103" s="8"/>
      <c r="K2103" s="8"/>
      <c r="L2103" s="8"/>
      <c r="M2103" s="8"/>
    </row>
    <row r="2104" spans="1:13" s="74" customFormat="1" x14ac:dyDescent="0.2">
      <c r="A2104" s="234"/>
      <c r="B2104" s="25" t="s">
        <v>560</v>
      </c>
      <c r="C2104" s="17"/>
      <c r="D2104" s="18"/>
      <c r="E2104" s="12"/>
      <c r="F2104" s="249"/>
      <c r="G2104" s="11"/>
      <c r="H2104" s="8"/>
      <c r="I2104" s="8"/>
      <c r="J2104" s="8"/>
      <c r="K2104" s="8"/>
      <c r="L2104" s="8"/>
      <c r="M2104" s="8"/>
    </row>
    <row r="2105" spans="1:13" s="74" customFormat="1" x14ac:dyDescent="0.2">
      <c r="A2105" s="234"/>
      <c r="B2105" s="26" t="s">
        <v>1019</v>
      </c>
      <c r="C2105" s="17" t="s">
        <v>39</v>
      </c>
      <c r="D2105" s="52">
        <f>578.97+139.48</f>
        <v>718.45</v>
      </c>
      <c r="E2105" s="12"/>
      <c r="F2105" s="249">
        <f>+D2105*E2105</f>
        <v>0</v>
      </c>
      <c r="G2105" s="11"/>
      <c r="H2105" s="8"/>
      <c r="I2105" s="8"/>
      <c r="J2105" s="8"/>
      <c r="K2105" s="8"/>
      <c r="L2105" s="8"/>
      <c r="M2105" s="8"/>
    </row>
    <row r="2106" spans="1:13" s="74" customFormat="1" x14ac:dyDescent="0.2">
      <c r="A2106" s="234"/>
      <c r="B2106" s="25"/>
      <c r="C2106" s="17"/>
      <c r="D2106" s="18"/>
      <c r="E2106" s="12"/>
      <c r="F2106" s="249"/>
      <c r="G2106" s="11"/>
      <c r="H2106" s="8"/>
      <c r="I2106" s="8"/>
      <c r="J2106" s="8"/>
      <c r="K2106" s="8"/>
      <c r="L2106" s="8"/>
      <c r="M2106" s="8"/>
    </row>
    <row r="2107" spans="1:13" s="74" customFormat="1" ht="76.5" x14ac:dyDescent="0.2">
      <c r="A2107" s="234" t="s">
        <v>72</v>
      </c>
      <c r="B2107" s="21" t="s">
        <v>1684</v>
      </c>
      <c r="C2107" s="17"/>
      <c r="D2107" s="18"/>
      <c r="E2107" s="12"/>
      <c r="F2107" s="249"/>
      <c r="G2107" s="11"/>
      <c r="H2107" s="8"/>
      <c r="I2107" s="8"/>
      <c r="J2107" s="8"/>
      <c r="K2107" s="8"/>
      <c r="L2107" s="8"/>
      <c r="M2107" s="8"/>
    </row>
    <row r="2108" spans="1:13" s="74" customFormat="1" ht="63.75" x14ac:dyDescent="0.2">
      <c r="A2108" s="234"/>
      <c r="B2108" s="21" t="s">
        <v>1629</v>
      </c>
      <c r="C2108" s="17"/>
      <c r="D2108" s="18"/>
      <c r="E2108" s="12"/>
      <c r="F2108" s="249"/>
      <c r="G2108" s="11"/>
      <c r="H2108" s="8"/>
      <c r="I2108" s="8"/>
      <c r="J2108" s="8"/>
      <c r="K2108" s="8"/>
      <c r="L2108" s="8"/>
      <c r="M2108" s="8"/>
    </row>
    <row r="2109" spans="1:13" s="74" customFormat="1" ht="51" x14ac:dyDescent="0.2">
      <c r="A2109" s="234"/>
      <c r="B2109" s="21" t="s">
        <v>1630</v>
      </c>
      <c r="C2109" s="17"/>
      <c r="D2109" s="18"/>
      <c r="E2109" s="12"/>
      <c r="F2109" s="249"/>
      <c r="G2109" s="11"/>
      <c r="H2109" s="8"/>
      <c r="I2109" s="8"/>
      <c r="J2109" s="8"/>
      <c r="K2109" s="8"/>
      <c r="L2109" s="8"/>
      <c r="M2109" s="8"/>
    </row>
    <row r="2110" spans="1:13" s="74" customFormat="1" ht="25.5" x14ac:dyDescent="0.2">
      <c r="A2110" s="339"/>
      <c r="B2110" s="347" t="s">
        <v>566</v>
      </c>
      <c r="C2110" s="363"/>
      <c r="D2110" s="364"/>
      <c r="E2110" s="343"/>
      <c r="F2110" s="344"/>
      <c r="G2110" s="11"/>
      <c r="H2110" s="8"/>
      <c r="I2110" s="8"/>
      <c r="J2110" s="8"/>
      <c r="K2110" s="8"/>
      <c r="L2110" s="8"/>
      <c r="M2110" s="8"/>
    </row>
    <row r="2111" spans="1:13" s="74" customFormat="1" x14ac:dyDescent="0.2">
      <c r="A2111" s="234"/>
      <c r="C2111" s="17"/>
      <c r="D2111" s="18"/>
      <c r="E2111" s="12"/>
      <c r="F2111" s="249"/>
      <c r="G2111" s="11"/>
      <c r="H2111" s="8"/>
      <c r="I2111" s="8"/>
      <c r="J2111" s="8"/>
      <c r="K2111" s="8"/>
      <c r="L2111" s="8"/>
      <c r="M2111" s="8"/>
    </row>
    <row r="2112" spans="1:13" s="74" customFormat="1" ht="25.5" x14ac:dyDescent="0.2">
      <c r="A2112" s="234"/>
      <c r="B2112" s="10" t="s">
        <v>852</v>
      </c>
      <c r="C2112" s="17"/>
      <c r="D2112" s="29"/>
      <c r="E2112" s="12"/>
      <c r="F2112" s="249"/>
      <c r="G2112" s="11"/>
      <c r="H2112" s="8"/>
      <c r="I2112" s="8"/>
      <c r="J2112" s="8"/>
      <c r="K2112" s="8"/>
      <c r="L2112" s="8"/>
      <c r="M2112" s="8"/>
    </row>
    <row r="2113" spans="1:13" s="74" customFormat="1" ht="114.75" x14ac:dyDescent="0.2">
      <c r="A2113" s="234"/>
      <c r="B2113" s="91" t="s">
        <v>853</v>
      </c>
      <c r="C2113" s="17" t="s">
        <v>39</v>
      </c>
      <c r="D2113" s="323">
        <f>2.1*(3.51+6.27+1+2.48+5.36+3.72+5.13+6.31)+2.7*(2.65+1.76+7.68+13.72+2.1*2+6.5+1.3+7.6+3.5+3.1+13.5+6.12+1.56+7.97+18.51)-(2.1*2.1+1*1+1.8*1*2+1*1.6+2.7*2.4*6+1.55*1.6+1*1.6*2+1*1*3+1.8*1+2.1*2.1+1*0.6+1+2+1.8*1.5*2+1*2+1.8*1+1.6*2.6+1*1.6+1.8*1+1.8*1.5+1*2*2+0.8*2*2+1*0.6+1.6*2.25)</f>
        <v>241.20700000000005</v>
      </c>
      <c r="E2113" s="12"/>
      <c r="F2113" s="249">
        <f>+D2113*E2113</f>
        <v>0</v>
      </c>
      <c r="G2113" s="11"/>
      <c r="H2113" s="8"/>
      <c r="I2113" s="8"/>
      <c r="J2113" s="8"/>
      <c r="K2113" s="8"/>
      <c r="L2113" s="8"/>
      <c r="M2113" s="8"/>
    </row>
    <row r="2114" spans="1:13" s="74" customFormat="1" x14ac:dyDescent="0.2">
      <c r="A2114" s="234"/>
      <c r="B2114" s="25"/>
      <c r="C2114" s="17"/>
      <c r="D2114" s="18"/>
      <c r="E2114" s="12"/>
      <c r="F2114" s="249"/>
      <c r="G2114" s="11"/>
      <c r="H2114" s="8"/>
      <c r="I2114" s="8"/>
      <c r="J2114" s="8"/>
      <c r="K2114" s="8"/>
      <c r="L2114" s="8"/>
      <c r="M2114" s="8"/>
    </row>
    <row r="2115" spans="1:13" s="74" customFormat="1" ht="63.75" x14ac:dyDescent="0.2">
      <c r="A2115" s="234" t="s">
        <v>73</v>
      </c>
      <c r="B2115" s="30" t="s">
        <v>1639</v>
      </c>
      <c r="C2115" s="27"/>
      <c r="D2115" s="29"/>
      <c r="E2115" s="37"/>
      <c r="F2115" s="249"/>
      <c r="G2115" s="209"/>
      <c r="H2115" s="8"/>
      <c r="I2115" s="8"/>
      <c r="J2115" s="8"/>
      <c r="K2115" s="8"/>
      <c r="L2115" s="8"/>
      <c r="M2115" s="8"/>
    </row>
    <row r="2116" spans="1:13" s="74" customFormat="1" ht="51" x14ac:dyDescent="0.2">
      <c r="A2116" s="234"/>
      <c r="B2116" s="30" t="s">
        <v>572</v>
      </c>
      <c r="C2116" s="27"/>
      <c r="D2116" s="29"/>
      <c r="E2116" s="37"/>
      <c r="F2116" s="249"/>
      <c r="G2116" s="209"/>
      <c r="H2116" s="8"/>
      <c r="I2116" s="8"/>
      <c r="J2116" s="8"/>
      <c r="K2116" s="8"/>
      <c r="L2116" s="8"/>
      <c r="M2116" s="8"/>
    </row>
    <row r="2117" spans="1:13" s="74" customFormat="1" x14ac:dyDescent="0.2">
      <c r="A2117" s="234"/>
      <c r="B2117" s="30" t="s">
        <v>573</v>
      </c>
      <c r="C2117" s="27"/>
      <c r="D2117" s="29"/>
      <c r="E2117" s="37"/>
      <c r="F2117" s="249"/>
      <c r="G2117" s="209"/>
      <c r="H2117" s="8"/>
      <c r="I2117" s="8"/>
      <c r="J2117" s="8"/>
      <c r="K2117" s="8"/>
      <c r="L2117" s="8"/>
      <c r="M2117" s="8"/>
    </row>
    <row r="2118" spans="1:13" s="74" customFormat="1" ht="25.5" x14ac:dyDescent="0.2">
      <c r="A2118" s="234"/>
      <c r="B2118" s="21" t="s">
        <v>565</v>
      </c>
      <c r="C2118" s="27"/>
      <c r="D2118" s="29"/>
      <c r="E2118" s="37"/>
      <c r="F2118" s="249"/>
      <c r="G2118" s="209"/>
      <c r="H2118" s="8"/>
      <c r="I2118" s="8"/>
      <c r="J2118" s="8"/>
      <c r="K2118" s="8"/>
      <c r="L2118" s="8"/>
      <c r="M2118" s="8"/>
    </row>
    <row r="2119" spans="1:13" s="74" customFormat="1" x14ac:dyDescent="0.2">
      <c r="A2119" s="234"/>
      <c r="B2119" s="138" t="s">
        <v>514</v>
      </c>
      <c r="C2119" s="27"/>
      <c r="D2119" s="29"/>
      <c r="E2119" s="37"/>
      <c r="F2119" s="249"/>
      <c r="G2119" s="209"/>
      <c r="H2119" s="8"/>
      <c r="I2119" s="8"/>
      <c r="J2119" s="8"/>
      <c r="K2119" s="8"/>
      <c r="L2119" s="8"/>
      <c r="M2119" s="8"/>
    </row>
    <row r="2120" spans="1:13" s="74" customFormat="1" x14ac:dyDescent="0.2">
      <c r="A2120" s="234"/>
      <c r="B2120" s="169" t="s">
        <v>571</v>
      </c>
      <c r="C2120" s="27"/>
      <c r="D2120" s="29"/>
      <c r="E2120" s="37"/>
      <c r="F2120" s="249"/>
      <c r="G2120" s="209"/>
      <c r="H2120" s="8"/>
      <c r="I2120" s="8"/>
      <c r="J2120" s="8"/>
      <c r="K2120" s="8"/>
      <c r="L2120" s="8"/>
      <c r="M2120" s="8"/>
    </row>
    <row r="2121" spans="1:13" s="74" customFormat="1" x14ac:dyDescent="0.2">
      <c r="A2121" s="234"/>
      <c r="B2121" s="104"/>
      <c r="C2121" s="27"/>
      <c r="D2121" s="29"/>
      <c r="E2121" s="37"/>
      <c r="F2121" s="249"/>
      <c r="G2121" s="209"/>
      <c r="H2121" s="8"/>
      <c r="I2121" s="8"/>
      <c r="J2121" s="8"/>
      <c r="K2121" s="8"/>
      <c r="L2121" s="8"/>
      <c r="M2121" s="8"/>
    </row>
    <row r="2122" spans="1:13" s="74" customFormat="1" ht="51" x14ac:dyDescent="0.2">
      <c r="A2122" s="234"/>
      <c r="B2122" s="26" t="s">
        <v>1049</v>
      </c>
      <c r="C2122" s="62" t="s">
        <v>40</v>
      </c>
      <c r="D2122" s="29">
        <f>3.27+3.66+6.45+1.12+2.53+7.75+5.8+3.43+3.83+3.28+12.14+8.2+6.4+4.78+2.56+5.16+8.08+12.12+8.37+7.02+3.43*3+7.55</f>
        <v>133.79000000000002</v>
      </c>
      <c r="E2122" s="12"/>
      <c r="F2122" s="249">
        <f>E2122*D2122</f>
        <v>0</v>
      </c>
      <c r="G2122" s="203"/>
      <c r="H2122" s="8"/>
      <c r="I2122" s="8"/>
      <c r="J2122" s="8"/>
      <c r="K2122" s="8"/>
      <c r="L2122" s="8"/>
      <c r="M2122" s="8"/>
    </row>
    <row r="2123" spans="1:13" x14ac:dyDescent="0.2">
      <c r="A2123" s="234"/>
      <c r="B2123" s="19"/>
      <c r="C2123" s="27"/>
      <c r="D2123" s="29"/>
      <c r="E2123" s="37"/>
      <c r="F2123" s="249"/>
      <c r="G2123" s="209"/>
      <c r="H2123" s="74"/>
      <c r="I2123" s="74"/>
      <c r="J2123" s="74"/>
      <c r="K2123" s="74"/>
      <c r="L2123" s="74"/>
      <c r="M2123" s="74"/>
    </row>
    <row r="2124" spans="1:13" ht="63.75" x14ac:dyDescent="0.2">
      <c r="A2124" s="234" t="s">
        <v>580</v>
      </c>
      <c r="B2124" s="134" t="s">
        <v>1021</v>
      </c>
      <c r="C2124" s="27"/>
      <c r="D2124" s="29"/>
      <c r="E2124" s="37"/>
      <c r="F2124" s="249"/>
      <c r="G2124" s="209"/>
      <c r="H2124" s="74"/>
      <c r="I2124" s="74"/>
      <c r="J2124" s="74"/>
      <c r="K2124" s="74"/>
      <c r="L2124" s="74"/>
      <c r="M2124" s="74"/>
    </row>
    <row r="2125" spans="1:13" ht="25.5" x14ac:dyDescent="0.2">
      <c r="A2125" s="234"/>
      <c r="B2125" s="134" t="s">
        <v>1640</v>
      </c>
      <c r="C2125" s="27"/>
      <c r="D2125" s="29"/>
      <c r="E2125" s="37"/>
      <c r="F2125" s="249"/>
      <c r="G2125" s="209"/>
      <c r="H2125" s="74"/>
      <c r="I2125" s="74"/>
      <c r="J2125" s="74"/>
      <c r="K2125" s="74"/>
      <c r="L2125" s="74"/>
      <c r="M2125" s="74"/>
    </row>
    <row r="2126" spans="1:13" ht="63.75" x14ac:dyDescent="0.2">
      <c r="A2126" s="234"/>
      <c r="B2126" s="74" t="s">
        <v>1022</v>
      </c>
      <c r="C2126" s="27"/>
      <c r="D2126" s="29"/>
      <c r="E2126" s="37"/>
      <c r="F2126" s="249"/>
      <c r="G2126" s="209"/>
      <c r="H2126" s="74"/>
      <c r="I2126" s="74"/>
      <c r="J2126" s="74"/>
      <c r="K2126" s="74"/>
      <c r="L2126" s="74"/>
      <c r="M2126" s="74"/>
    </row>
    <row r="2127" spans="1:13" ht="25.5" x14ac:dyDescent="0.2">
      <c r="A2127" s="234"/>
      <c r="B2127" s="74" t="s">
        <v>569</v>
      </c>
      <c r="C2127" s="27"/>
      <c r="D2127" s="29"/>
      <c r="E2127" s="37"/>
      <c r="F2127" s="249"/>
      <c r="G2127" s="209"/>
      <c r="H2127" s="74"/>
      <c r="I2127" s="74"/>
      <c r="J2127" s="74"/>
      <c r="K2127" s="74"/>
      <c r="L2127" s="74"/>
      <c r="M2127" s="74"/>
    </row>
    <row r="2128" spans="1:13" ht="25.5" x14ac:dyDescent="0.2">
      <c r="A2128" s="234"/>
      <c r="B2128" s="21" t="s">
        <v>565</v>
      </c>
      <c r="C2128" s="27"/>
      <c r="D2128" s="29"/>
      <c r="E2128" s="37"/>
      <c r="F2128" s="249"/>
      <c r="G2128" s="209"/>
      <c r="H2128" s="74"/>
      <c r="I2128" s="74"/>
      <c r="J2128" s="74"/>
      <c r="K2128" s="74"/>
      <c r="L2128" s="74"/>
      <c r="M2128" s="74"/>
    </row>
    <row r="2129" spans="1:13" ht="25.5" x14ac:dyDescent="0.2">
      <c r="A2129" s="339"/>
      <c r="B2129" s="425" t="s">
        <v>300</v>
      </c>
      <c r="C2129" s="362"/>
      <c r="D2129" s="342"/>
      <c r="E2129" s="426"/>
      <c r="F2129" s="344"/>
      <c r="G2129" s="209"/>
      <c r="H2129" s="74"/>
      <c r="I2129" s="74"/>
      <c r="J2129" s="74"/>
      <c r="K2129" s="74"/>
      <c r="L2129" s="74"/>
      <c r="M2129" s="74"/>
    </row>
    <row r="2130" spans="1:13" x14ac:dyDescent="0.2">
      <c r="A2130" s="234"/>
      <c r="B2130" s="138"/>
      <c r="C2130" s="27"/>
      <c r="D2130" s="29"/>
      <c r="E2130" s="37"/>
      <c r="F2130" s="249"/>
      <c r="G2130" s="209"/>
      <c r="H2130" s="74"/>
      <c r="I2130" s="74"/>
      <c r="J2130" s="74"/>
      <c r="K2130" s="74"/>
      <c r="L2130" s="74"/>
      <c r="M2130" s="74"/>
    </row>
    <row r="2131" spans="1:13" x14ac:dyDescent="0.2">
      <c r="A2131" s="234"/>
      <c r="B2131" s="12" t="s">
        <v>1023</v>
      </c>
      <c r="C2131" s="27"/>
      <c r="D2131" s="29"/>
      <c r="E2131" s="37"/>
      <c r="F2131" s="249"/>
      <c r="G2131" s="209"/>
      <c r="H2131" s="74"/>
      <c r="I2131" s="74"/>
      <c r="J2131" s="74"/>
      <c r="K2131" s="74"/>
      <c r="L2131" s="74"/>
      <c r="M2131" s="74"/>
    </row>
    <row r="2132" spans="1:13" ht="38.25" x14ac:dyDescent="0.2">
      <c r="A2132" s="234"/>
      <c r="B2132" s="26" t="s">
        <v>1020</v>
      </c>
      <c r="C2132" s="62" t="s">
        <v>40</v>
      </c>
      <c r="D2132" s="29">
        <f>3.27+3.66+6.45+1.12+2.53+7.75+5.8+3.43+3.83+3.28+12.14+8.2+6.4+4.78+2.56+5.16+8.08+12.12</f>
        <v>100.56000000000002</v>
      </c>
      <c r="E2132" s="12"/>
      <c r="F2132" s="249">
        <f>+D2132*E2132</f>
        <v>0</v>
      </c>
      <c r="G2132" s="11"/>
      <c r="H2132" s="74"/>
      <c r="I2132" s="74"/>
      <c r="J2132" s="74"/>
      <c r="K2132" s="74"/>
      <c r="L2132" s="74"/>
      <c r="M2132" s="74"/>
    </row>
    <row r="2133" spans="1:13" x14ac:dyDescent="0.2">
      <c r="A2133" s="234"/>
      <c r="B2133" s="19"/>
      <c r="C2133" s="27"/>
      <c r="D2133" s="29"/>
      <c r="E2133" s="37"/>
      <c r="F2133" s="249"/>
      <c r="G2133" s="209"/>
      <c r="H2133" s="74"/>
      <c r="I2133" s="74"/>
      <c r="J2133" s="74"/>
      <c r="K2133" s="74"/>
      <c r="L2133" s="74"/>
      <c r="M2133" s="74"/>
    </row>
    <row r="2134" spans="1:13" ht="76.5" x14ac:dyDescent="0.2">
      <c r="A2134" s="234" t="s">
        <v>649</v>
      </c>
      <c r="B2134" s="134" t="s">
        <v>1037</v>
      </c>
      <c r="C2134" s="27"/>
      <c r="D2134" s="29"/>
      <c r="E2134" s="37"/>
      <c r="F2134" s="249"/>
      <c r="G2134" s="209"/>
      <c r="H2134" s="74"/>
      <c r="I2134" s="74"/>
      <c r="J2134" s="74"/>
      <c r="K2134" s="74"/>
      <c r="L2134" s="74"/>
      <c r="M2134" s="74"/>
    </row>
    <row r="2135" spans="1:13" x14ac:dyDescent="0.2">
      <c r="A2135" s="234"/>
      <c r="B2135" s="134" t="s">
        <v>567</v>
      </c>
      <c r="C2135" s="27"/>
      <c r="D2135" s="29"/>
      <c r="E2135" s="37"/>
      <c r="F2135" s="249"/>
      <c r="G2135" s="209"/>
      <c r="H2135" s="74"/>
      <c r="I2135" s="74"/>
      <c r="J2135" s="74"/>
      <c r="K2135" s="74"/>
      <c r="L2135" s="74"/>
      <c r="M2135" s="74"/>
    </row>
    <row r="2136" spans="1:13" ht="63.75" x14ac:dyDescent="0.2">
      <c r="A2136" s="234"/>
      <c r="B2136" s="74" t="s">
        <v>568</v>
      </c>
      <c r="C2136" s="27"/>
      <c r="D2136" s="29"/>
      <c r="E2136" s="37"/>
      <c r="F2136" s="249"/>
      <c r="G2136" s="209"/>
      <c r="H2136" s="74"/>
      <c r="I2136" s="74"/>
      <c r="J2136" s="74"/>
      <c r="K2136" s="74"/>
      <c r="L2136" s="74"/>
      <c r="M2136" s="74"/>
    </row>
    <row r="2137" spans="1:13" ht="25.5" x14ac:dyDescent="0.2">
      <c r="A2137" s="234"/>
      <c r="B2137" s="74" t="s">
        <v>569</v>
      </c>
      <c r="C2137" s="27"/>
      <c r="D2137" s="29"/>
      <c r="E2137" s="37"/>
      <c r="F2137" s="249"/>
      <c r="G2137" s="209"/>
      <c r="H2137" s="74"/>
      <c r="I2137" s="74"/>
      <c r="J2137" s="74"/>
      <c r="K2137" s="74"/>
      <c r="L2137" s="74"/>
      <c r="M2137" s="74"/>
    </row>
    <row r="2138" spans="1:13" x14ac:dyDescent="0.2">
      <c r="A2138" s="234"/>
      <c r="B2138" s="135" t="s">
        <v>570</v>
      </c>
      <c r="C2138" s="27"/>
      <c r="D2138" s="29"/>
      <c r="E2138" s="37"/>
      <c r="F2138" s="249"/>
      <c r="G2138" s="209"/>
      <c r="H2138" s="74"/>
      <c r="I2138" s="74"/>
      <c r="J2138" s="74"/>
      <c r="K2138" s="74"/>
      <c r="L2138" s="74"/>
      <c r="M2138" s="74"/>
    </row>
    <row r="2139" spans="1:13" ht="25.5" x14ac:dyDescent="0.2">
      <c r="A2139" s="234"/>
      <c r="B2139" s="21" t="s">
        <v>565</v>
      </c>
      <c r="C2139" s="27"/>
      <c r="D2139" s="29"/>
      <c r="E2139" s="37"/>
      <c r="F2139" s="249"/>
      <c r="G2139" s="209"/>
      <c r="H2139" s="74"/>
      <c r="I2139" s="74"/>
      <c r="J2139" s="74"/>
      <c r="K2139" s="74"/>
      <c r="L2139" s="74"/>
      <c r="M2139" s="74"/>
    </row>
    <row r="2140" spans="1:13" ht="25.5" x14ac:dyDescent="0.2">
      <c r="A2140" s="234"/>
      <c r="B2140" s="169" t="s">
        <v>300</v>
      </c>
      <c r="C2140" s="27"/>
      <c r="D2140" s="29"/>
      <c r="E2140" s="37"/>
      <c r="F2140" s="249"/>
      <c r="G2140" s="209"/>
      <c r="H2140" s="74"/>
      <c r="I2140" s="74"/>
      <c r="J2140" s="74"/>
      <c r="K2140" s="74"/>
      <c r="L2140" s="74"/>
      <c r="M2140" s="74"/>
    </row>
    <row r="2141" spans="1:13" x14ac:dyDescent="0.2">
      <c r="A2141" s="247"/>
      <c r="B2141" s="138"/>
      <c r="C2141" s="27"/>
      <c r="D2141" s="29"/>
      <c r="E2141" s="37"/>
      <c r="F2141" s="249"/>
      <c r="G2141" s="209"/>
      <c r="H2141" s="74"/>
      <c r="I2141" s="74"/>
      <c r="J2141" s="74"/>
      <c r="K2141" s="74"/>
      <c r="L2141" s="74"/>
      <c r="M2141" s="74"/>
    </row>
    <row r="2142" spans="1:13" x14ac:dyDescent="0.2">
      <c r="A2142" s="247" t="s">
        <v>1631</v>
      </c>
      <c r="B2142" s="12" t="s">
        <v>1051</v>
      </c>
      <c r="C2142" s="27"/>
      <c r="D2142" s="29"/>
      <c r="E2142" s="37"/>
      <c r="F2142" s="249"/>
      <c r="G2142" s="209"/>
      <c r="H2142" s="74"/>
      <c r="I2142" s="74"/>
      <c r="J2142" s="74"/>
      <c r="K2142" s="74"/>
      <c r="L2142" s="74"/>
      <c r="M2142" s="74"/>
    </row>
    <row r="2143" spans="1:13" x14ac:dyDescent="0.2">
      <c r="A2143" s="247"/>
      <c r="B2143" s="26" t="s">
        <v>1034</v>
      </c>
      <c r="C2143" s="27" t="s">
        <v>40</v>
      </c>
      <c r="D2143" s="29">
        <f>8.37+7.02</f>
        <v>15.389999999999999</v>
      </c>
      <c r="E2143" s="12"/>
      <c r="F2143" s="249">
        <f>+D2143*E2143</f>
        <v>0</v>
      </c>
      <c r="G2143" s="209"/>
      <c r="H2143" s="74"/>
      <c r="I2143" s="74"/>
      <c r="J2143" s="74"/>
      <c r="K2143" s="74"/>
      <c r="L2143" s="74"/>
      <c r="M2143" s="74"/>
    </row>
    <row r="2144" spans="1:13" x14ac:dyDescent="0.2">
      <c r="A2144" s="247"/>
      <c r="B2144" s="14"/>
      <c r="C2144" s="27"/>
      <c r="D2144" s="29"/>
      <c r="E2144" s="37"/>
      <c r="F2144" s="249"/>
      <c r="G2144" s="209"/>
      <c r="H2144" s="74"/>
      <c r="I2144" s="74"/>
      <c r="J2144" s="74"/>
      <c r="K2144" s="74"/>
      <c r="L2144" s="74"/>
      <c r="M2144" s="74"/>
    </row>
    <row r="2145" spans="1:13" x14ac:dyDescent="0.2">
      <c r="A2145" s="247" t="s">
        <v>1632</v>
      </c>
      <c r="B2145" s="12" t="s">
        <v>1050</v>
      </c>
      <c r="C2145" s="27"/>
      <c r="D2145" s="29"/>
      <c r="E2145" s="37"/>
      <c r="F2145" s="249"/>
      <c r="G2145" s="209"/>
      <c r="H2145" s="74"/>
      <c r="I2145" s="74"/>
      <c r="J2145" s="74"/>
      <c r="K2145" s="74"/>
      <c r="L2145" s="74"/>
      <c r="M2145" s="74"/>
    </row>
    <row r="2146" spans="1:13" x14ac:dyDescent="0.2">
      <c r="A2146" s="234"/>
      <c r="B2146" s="14" t="s">
        <v>1046</v>
      </c>
      <c r="C2146" s="27" t="s">
        <v>40</v>
      </c>
      <c r="D2146" s="95">
        <f>3.43*3+7.55</f>
        <v>17.84</v>
      </c>
      <c r="E2146" s="12"/>
      <c r="F2146" s="249">
        <f>+D2146*E2146</f>
        <v>0</v>
      </c>
      <c r="G2146" s="209"/>
      <c r="H2146" s="74"/>
      <c r="I2146" s="74"/>
      <c r="J2146" s="74"/>
      <c r="K2146" s="74"/>
      <c r="L2146" s="74"/>
      <c r="M2146" s="74"/>
    </row>
    <row r="2147" spans="1:13" x14ac:dyDescent="0.2">
      <c r="A2147" s="234"/>
      <c r="B2147" s="14"/>
      <c r="C2147" s="27"/>
      <c r="D2147" s="29"/>
      <c r="E2147" s="37"/>
      <c r="F2147" s="249"/>
      <c r="G2147" s="209"/>
      <c r="H2147" s="74"/>
      <c r="I2147" s="74"/>
      <c r="J2147" s="74"/>
      <c r="K2147" s="74"/>
      <c r="L2147" s="74"/>
      <c r="M2147" s="74"/>
    </row>
    <row r="2148" spans="1:13" ht="63.75" x14ac:dyDescent="0.2">
      <c r="A2148" s="234" t="s">
        <v>581</v>
      </c>
      <c r="B2148" s="134" t="s">
        <v>1024</v>
      </c>
      <c r="C2148" s="27"/>
      <c r="D2148" s="29"/>
      <c r="E2148" s="37"/>
      <c r="F2148" s="249"/>
      <c r="G2148" s="209"/>
      <c r="H2148" s="74"/>
      <c r="I2148" s="74"/>
      <c r="J2148" s="74"/>
      <c r="K2148" s="74"/>
      <c r="L2148" s="74"/>
      <c r="M2148" s="74"/>
    </row>
    <row r="2149" spans="1:13" ht="25.5" x14ac:dyDescent="0.2">
      <c r="A2149" s="234"/>
      <c r="B2149" s="24" t="s">
        <v>1025</v>
      </c>
      <c r="C2149" s="27"/>
      <c r="D2149" s="29"/>
      <c r="E2149" s="37"/>
      <c r="F2149" s="249"/>
      <c r="G2149" s="209"/>
      <c r="H2149" s="74"/>
      <c r="I2149" s="74"/>
      <c r="J2149" s="74"/>
      <c r="K2149" s="74"/>
      <c r="L2149" s="74"/>
      <c r="M2149" s="74"/>
    </row>
    <row r="2150" spans="1:13" ht="25.5" x14ac:dyDescent="0.2">
      <c r="A2150" s="234"/>
      <c r="B2150" s="21" t="s">
        <v>565</v>
      </c>
      <c r="C2150" s="27"/>
      <c r="D2150" s="29"/>
      <c r="E2150" s="37"/>
      <c r="F2150" s="249"/>
      <c r="G2150" s="209"/>
      <c r="H2150" s="74"/>
      <c r="I2150" s="74"/>
      <c r="J2150" s="74"/>
      <c r="K2150" s="74"/>
      <c r="L2150" s="74"/>
      <c r="M2150" s="74"/>
    </row>
    <row r="2151" spans="1:13" ht="25.5" x14ac:dyDescent="0.2">
      <c r="A2151" s="234"/>
      <c r="B2151" s="169" t="s">
        <v>1026</v>
      </c>
      <c r="C2151" s="27"/>
      <c r="D2151" s="29"/>
      <c r="E2151" s="37"/>
      <c r="F2151" s="249"/>
      <c r="G2151" s="209"/>
      <c r="H2151" s="74"/>
      <c r="I2151" s="74"/>
      <c r="J2151" s="74"/>
      <c r="K2151" s="74"/>
      <c r="L2151" s="74"/>
      <c r="M2151" s="74"/>
    </row>
    <row r="2152" spans="1:13" x14ac:dyDescent="0.2">
      <c r="A2152" s="234"/>
      <c r="B2152" s="138"/>
      <c r="C2152" s="27"/>
      <c r="D2152" s="29"/>
      <c r="E2152" s="37"/>
      <c r="F2152" s="249"/>
      <c r="G2152" s="209"/>
      <c r="H2152" s="74"/>
      <c r="I2152" s="74"/>
      <c r="J2152" s="74"/>
      <c r="K2152" s="74"/>
      <c r="L2152" s="74"/>
      <c r="M2152" s="74"/>
    </row>
    <row r="2153" spans="1:13" x14ac:dyDescent="0.2">
      <c r="A2153" s="234"/>
      <c r="B2153" s="12" t="s">
        <v>1027</v>
      </c>
      <c r="C2153" s="27"/>
      <c r="D2153" s="29"/>
      <c r="E2153" s="37"/>
      <c r="F2153" s="249"/>
      <c r="G2153" s="209"/>
      <c r="H2153" s="74"/>
      <c r="I2153" s="74"/>
      <c r="J2153" s="74"/>
      <c r="K2153" s="74"/>
      <c r="L2153" s="74"/>
      <c r="M2153" s="74"/>
    </row>
    <row r="2154" spans="1:13" ht="38.25" x14ac:dyDescent="0.2">
      <c r="A2154" s="339"/>
      <c r="B2154" s="354" t="s">
        <v>1020</v>
      </c>
      <c r="C2154" s="341" t="s">
        <v>40</v>
      </c>
      <c r="D2154" s="342">
        <f>3.27+3.66+6.45+1.12+2.53+7.75+5.8+3.43+3.83+3.28+12.14+8.2+6.4+4.78+2.56+5.16+8.08+12.12</f>
        <v>100.56000000000002</v>
      </c>
      <c r="E2154" s="343"/>
      <c r="F2154" s="344">
        <f>+D2154*E2154</f>
        <v>0</v>
      </c>
      <c r="G2154" s="209"/>
      <c r="H2154" s="74"/>
      <c r="I2154" s="74"/>
      <c r="J2154" s="74"/>
      <c r="K2154" s="74"/>
      <c r="L2154" s="74"/>
      <c r="M2154" s="74"/>
    </row>
    <row r="2155" spans="1:13" x14ac:dyDescent="0.2">
      <c r="A2155" s="234"/>
      <c r="B2155" s="19"/>
      <c r="C2155" s="27"/>
      <c r="D2155" s="29"/>
      <c r="E2155" s="37"/>
      <c r="F2155" s="249"/>
      <c r="G2155" s="209"/>
      <c r="H2155" s="74"/>
      <c r="I2155" s="74"/>
      <c r="J2155" s="74"/>
      <c r="K2155" s="74"/>
      <c r="L2155" s="74"/>
      <c r="M2155" s="74"/>
    </row>
    <row r="2156" spans="1:13" ht="76.5" x14ac:dyDescent="0.2">
      <c r="A2156" s="234" t="s">
        <v>582</v>
      </c>
      <c r="B2156" s="30" t="s">
        <v>574</v>
      </c>
      <c r="C2156" s="27"/>
      <c r="D2156" s="29"/>
      <c r="E2156" s="37"/>
      <c r="F2156" s="249"/>
      <c r="G2156" s="209"/>
      <c r="H2156" s="78">
        <f>13.9+0.88</f>
        <v>14.780000000000001</v>
      </c>
      <c r="I2156" s="13"/>
      <c r="J2156" s="74"/>
    </row>
    <row r="2157" spans="1:13" ht="51" x14ac:dyDescent="0.2">
      <c r="A2157" s="234"/>
      <c r="B2157" s="21" t="s">
        <v>575</v>
      </c>
      <c r="C2157" s="27"/>
      <c r="D2157" s="29"/>
      <c r="E2157" s="37"/>
      <c r="F2157" s="249"/>
      <c r="G2157" s="209"/>
      <c r="H2157" s="78"/>
      <c r="I2157" s="13"/>
      <c r="J2157" s="74"/>
    </row>
    <row r="2158" spans="1:13" ht="63.75" x14ac:dyDescent="0.2">
      <c r="A2158" s="234"/>
      <c r="B2158" s="30" t="s">
        <v>109</v>
      </c>
      <c r="C2158" s="27"/>
      <c r="D2158" s="29"/>
      <c r="E2158" s="37"/>
      <c r="F2158" s="249"/>
      <c r="G2158" s="209"/>
      <c r="H2158" s="78"/>
      <c r="I2158" s="13"/>
      <c r="J2158" s="74"/>
    </row>
    <row r="2159" spans="1:13" s="74" customFormat="1" ht="38.25" x14ac:dyDescent="0.2">
      <c r="A2159" s="234"/>
      <c r="B2159" s="21" t="s">
        <v>576</v>
      </c>
      <c r="C2159" s="27"/>
      <c r="D2159" s="29"/>
      <c r="E2159" s="37"/>
      <c r="F2159" s="249"/>
      <c r="G2159" s="209"/>
      <c r="H2159" s="78"/>
      <c r="I2159" s="13"/>
      <c r="K2159" s="8"/>
      <c r="L2159" s="8"/>
      <c r="M2159" s="8"/>
    </row>
    <row r="2160" spans="1:13" ht="51" x14ac:dyDescent="0.2">
      <c r="A2160" s="234"/>
      <c r="B2160" s="30" t="s">
        <v>577</v>
      </c>
      <c r="C2160" s="27"/>
      <c r="D2160" s="29"/>
      <c r="E2160" s="37"/>
      <c r="F2160" s="249"/>
      <c r="G2160" s="209"/>
      <c r="H2160" s="78"/>
      <c r="I2160" s="13"/>
      <c r="J2160" s="74"/>
    </row>
    <row r="2161" spans="1:10" x14ac:dyDescent="0.2">
      <c r="A2161" s="234"/>
      <c r="B2161" s="30" t="s">
        <v>97</v>
      </c>
      <c r="C2161" s="27"/>
      <c r="D2161" s="29"/>
      <c r="E2161" s="37"/>
      <c r="F2161" s="249"/>
      <c r="G2161" s="209"/>
      <c r="H2161" s="78"/>
      <c r="I2161" s="13"/>
      <c r="J2161" s="74"/>
    </row>
    <row r="2162" spans="1:10" x14ac:dyDescent="0.2">
      <c r="A2162" s="234"/>
      <c r="B2162" s="30"/>
      <c r="C2162" s="27"/>
      <c r="D2162" s="29"/>
      <c r="E2162" s="37"/>
      <c r="F2162" s="249"/>
      <c r="G2162" s="209"/>
      <c r="H2162" s="78"/>
      <c r="I2162" s="13"/>
      <c r="J2162" s="74"/>
    </row>
    <row r="2163" spans="1:10" x14ac:dyDescent="0.2">
      <c r="A2163" s="234"/>
      <c r="B2163" s="30" t="s">
        <v>122</v>
      </c>
      <c r="C2163" s="27"/>
      <c r="D2163" s="29"/>
      <c r="E2163" s="37"/>
      <c r="F2163" s="249"/>
      <c r="G2163" s="209"/>
      <c r="H2163" s="78"/>
      <c r="I2163" s="13"/>
      <c r="J2163" s="74"/>
    </row>
    <row r="2164" spans="1:10" x14ac:dyDescent="0.2">
      <c r="A2164" s="234"/>
      <c r="B2164" s="31" t="s">
        <v>1028</v>
      </c>
      <c r="C2164" s="62" t="s">
        <v>40</v>
      </c>
      <c r="D2164" s="52">
        <f>11.78*6+14.95*5</f>
        <v>145.43</v>
      </c>
      <c r="E2164" s="12"/>
      <c r="F2164" s="255">
        <f>E2164*D2164</f>
        <v>0</v>
      </c>
      <c r="G2164" s="11"/>
      <c r="H2164" s="78"/>
      <c r="I2164" s="13"/>
      <c r="J2164" s="74"/>
    </row>
    <row r="2165" spans="1:10" x14ac:dyDescent="0.2">
      <c r="A2165" s="234"/>
      <c r="B2165" s="26"/>
      <c r="C2165" s="27"/>
      <c r="D2165" s="29"/>
      <c r="E2165" s="37"/>
      <c r="F2165" s="249"/>
      <c r="G2165" s="209"/>
      <c r="H2165" s="78"/>
      <c r="I2165" s="13"/>
      <c r="J2165" s="74"/>
    </row>
    <row r="2166" spans="1:10" ht="51" x14ac:dyDescent="0.2">
      <c r="A2166" s="234" t="s">
        <v>583</v>
      </c>
      <c r="B2166" s="30" t="s">
        <v>578</v>
      </c>
      <c r="C2166" s="39"/>
      <c r="D2166" s="23"/>
      <c r="E2166" s="30"/>
      <c r="F2166" s="286"/>
      <c r="G2166" s="89"/>
      <c r="H2166" s="78"/>
      <c r="I2166" s="13"/>
      <c r="J2166" s="74"/>
    </row>
    <row r="2167" spans="1:10" ht="51" x14ac:dyDescent="0.2">
      <c r="A2167" s="234"/>
      <c r="B2167" s="30" t="s">
        <v>579</v>
      </c>
      <c r="C2167" s="39"/>
      <c r="D2167" s="23"/>
      <c r="E2167" s="30"/>
      <c r="F2167" s="286"/>
      <c r="G2167" s="89"/>
      <c r="I2167" s="13"/>
      <c r="J2167" s="74"/>
    </row>
    <row r="2168" spans="1:10" ht="25.5" x14ac:dyDescent="0.2">
      <c r="A2168" s="234"/>
      <c r="B2168" s="30" t="s">
        <v>103</v>
      </c>
      <c r="C2168" s="39" t="s">
        <v>33</v>
      </c>
      <c r="D2168" s="330">
        <v>11</v>
      </c>
      <c r="E2168" s="20"/>
      <c r="F2168" s="242">
        <f>E2168*D2168</f>
        <v>0</v>
      </c>
      <c r="G2168" s="10"/>
      <c r="H2168" s="78"/>
      <c r="I2168" s="11"/>
      <c r="J2168" s="74"/>
    </row>
    <row r="2169" spans="1:10" x14ac:dyDescent="0.2">
      <c r="A2169" s="234"/>
      <c r="B2169" s="30"/>
      <c r="C2169" s="39"/>
      <c r="D2169" s="330"/>
      <c r="E2169" s="20"/>
      <c r="F2169" s="242"/>
      <c r="G2169" s="10"/>
      <c r="H2169" s="78"/>
      <c r="I2169" s="11"/>
      <c r="J2169" s="74"/>
    </row>
    <row r="2170" spans="1:10" ht="63.75" x14ac:dyDescent="0.2">
      <c r="A2170" s="234" t="s">
        <v>586</v>
      </c>
      <c r="B2170" s="30" t="s">
        <v>1570</v>
      </c>
      <c r="C2170" s="62"/>
      <c r="D2170" s="29"/>
      <c r="E2170" s="23"/>
      <c r="F2170" s="249"/>
      <c r="G2170" s="10"/>
      <c r="H2170" s="78"/>
      <c r="I2170" s="11"/>
      <c r="J2170" s="74"/>
    </row>
    <row r="2171" spans="1:10" ht="38.25" x14ac:dyDescent="0.2">
      <c r="A2171" s="234"/>
      <c r="B2171" s="30" t="s">
        <v>1045</v>
      </c>
      <c r="C2171" s="62"/>
      <c r="D2171" s="29"/>
      <c r="E2171" s="23"/>
      <c r="F2171" s="249"/>
      <c r="G2171" s="10"/>
      <c r="H2171" s="89"/>
      <c r="I2171" s="11"/>
      <c r="J2171" s="74"/>
    </row>
    <row r="2172" spans="1:10" ht="63.75" x14ac:dyDescent="0.2">
      <c r="A2172" s="339"/>
      <c r="B2172" s="359" t="s">
        <v>1035</v>
      </c>
      <c r="C2172" s="341"/>
      <c r="D2172" s="342"/>
      <c r="E2172" s="366"/>
      <c r="F2172" s="344"/>
      <c r="G2172" s="10"/>
      <c r="H2172" s="78"/>
      <c r="I2172" s="11"/>
      <c r="J2172" s="74"/>
    </row>
    <row r="2173" spans="1:10" x14ac:dyDescent="0.2">
      <c r="A2173" s="234"/>
      <c r="B2173" s="30"/>
      <c r="C2173" s="62"/>
      <c r="D2173" s="29"/>
      <c r="E2173" s="23"/>
      <c r="F2173" s="249"/>
      <c r="G2173" s="10"/>
      <c r="H2173" s="78"/>
      <c r="I2173" s="11"/>
      <c r="J2173" s="74"/>
    </row>
    <row r="2174" spans="1:10" ht="25.5" x14ac:dyDescent="0.2">
      <c r="A2174" s="234"/>
      <c r="B2174" s="21" t="s">
        <v>565</v>
      </c>
      <c r="C2174" s="62"/>
      <c r="D2174" s="29"/>
      <c r="E2174" s="23"/>
      <c r="F2174" s="249"/>
      <c r="G2174" s="10"/>
      <c r="H2174" s="78"/>
      <c r="I2174" s="11"/>
      <c r="J2174" s="74"/>
    </row>
    <row r="2175" spans="1:10" x14ac:dyDescent="0.2">
      <c r="A2175" s="234"/>
      <c r="B2175" s="169" t="s">
        <v>584</v>
      </c>
      <c r="C2175" s="62"/>
      <c r="D2175" s="29"/>
      <c r="E2175" s="23"/>
      <c r="F2175" s="249"/>
      <c r="G2175" s="10"/>
      <c r="H2175" s="78"/>
      <c r="I2175" s="11"/>
      <c r="J2175" s="74"/>
    </row>
    <row r="2176" spans="1:10" x14ac:dyDescent="0.2">
      <c r="A2176" s="234"/>
      <c r="B2176" s="26"/>
      <c r="C2176" s="62"/>
      <c r="D2176" s="29"/>
      <c r="E2176" s="23"/>
      <c r="F2176" s="249"/>
      <c r="G2176" s="10"/>
      <c r="H2176" s="78"/>
      <c r="I2176" s="11"/>
      <c r="J2176" s="74"/>
    </row>
    <row r="2177" spans="1:10" x14ac:dyDescent="0.2">
      <c r="A2177" s="234"/>
      <c r="B2177" s="169" t="s">
        <v>1036</v>
      </c>
      <c r="C2177" s="62"/>
      <c r="D2177" s="29"/>
      <c r="E2177" s="23"/>
      <c r="F2177" s="249"/>
      <c r="G2177" s="10"/>
      <c r="H2177" s="78"/>
      <c r="I2177" s="11"/>
      <c r="J2177" s="74"/>
    </row>
    <row r="2178" spans="1:10" x14ac:dyDescent="0.2">
      <c r="A2178" s="234"/>
      <c r="B2178" s="26" t="s">
        <v>1571</v>
      </c>
      <c r="C2178" s="27" t="s">
        <v>40</v>
      </c>
      <c r="D2178" s="60">
        <f>8.37+7.02+3.43*3+7.55</f>
        <v>33.229999999999997</v>
      </c>
      <c r="E2178" s="12"/>
      <c r="F2178" s="255">
        <f>E2178*D2178</f>
        <v>0</v>
      </c>
      <c r="G2178" s="10"/>
      <c r="H2178" s="78"/>
      <c r="I2178" s="11"/>
      <c r="J2178" s="74"/>
    </row>
    <row r="2179" spans="1:10" x14ac:dyDescent="0.2">
      <c r="A2179" s="234"/>
      <c r="B2179" s="30"/>
      <c r="C2179" s="39"/>
      <c r="D2179" s="330"/>
      <c r="E2179" s="20"/>
      <c r="F2179" s="242"/>
      <c r="G2179" s="10"/>
      <c r="H2179" s="78"/>
      <c r="I2179" s="11"/>
      <c r="J2179" s="74"/>
    </row>
    <row r="2180" spans="1:10" ht="76.5" x14ac:dyDescent="0.2">
      <c r="A2180" s="234" t="s">
        <v>587</v>
      </c>
      <c r="B2180" s="30" t="s">
        <v>1052</v>
      </c>
      <c r="C2180" s="39"/>
      <c r="D2180" s="330"/>
      <c r="E2180" s="20"/>
      <c r="F2180" s="242"/>
      <c r="G2180" s="10"/>
      <c r="H2180" s="78"/>
      <c r="I2180" s="11"/>
      <c r="J2180" s="74"/>
    </row>
    <row r="2181" spans="1:10" ht="25.5" x14ac:dyDescent="0.2">
      <c r="A2181" s="234"/>
      <c r="B2181" s="30" t="s">
        <v>585</v>
      </c>
      <c r="C2181" s="39"/>
      <c r="D2181" s="330"/>
      <c r="E2181" s="20"/>
      <c r="F2181" s="242"/>
      <c r="G2181" s="10"/>
      <c r="H2181" s="78"/>
      <c r="I2181" s="11"/>
      <c r="J2181" s="74"/>
    </row>
    <row r="2182" spans="1:10" ht="25.5" x14ac:dyDescent="0.2">
      <c r="A2182" s="234"/>
      <c r="B2182" s="21" t="s">
        <v>565</v>
      </c>
      <c r="C2182" s="39"/>
      <c r="D2182" s="330"/>
      <c r="E2182" s="20"/>
      <c r="F2182" s="242"/>
      <c r="G2182" s="10"/>
      <c r="H2182" s="78"/>
      <c r="I2182" s="11"/>
      <c r="J2182" s="74"/>
    </row>
    <row r="2183" spans="1:10" x14ac:dyDescent="0.2">
      <c r="A2183" s="234"/>
      <c r="B2183" s="169" t="s">
        <v>97</v>
      </c>
      <c r="C2183" s="39"/>
      <c r="D2183" s="330"/>
      <c r="E2183" s="20"/>
      <c r="F2183" s="242"/>
      <c r="G2183" s="10"/>
      <c r="H2183" s="78"/>
      <c r="I2183" s="11"/>
      <c r="J2183" s="74"/>
    </row>
    <row r="2184" spans="1:10" x14ac:dyDescent="0.2">
      <c r="A2184" s="234"/>
      <c r="B2184" s="30"/>
      <c r="C2184" s="39"/>
      <c r="D2184" s="330"/>
      <c r="E2184" s="20"/>
      <c r="F2184" s="242"/>
      <c r="G2184" s="10"/>
      <c r="H2184" s="78"/>
      <c r="I2184" s="11"/>
      <c r="J2184" s="74"/>
    </row>
    <row r="2185" spans="1:10" x14ac:dyDescent="0.2">
      <c r="A2185" s="234"/>
      <c r="B2185" s="24" t="s">
        <v>1038</v>
      </c>
      <c r="C2185" s="62" t="s">
        <v>40</v>
      </c>
      <c r="D2185" s="52">
        <f>16.4*2</f>
        <v>32.799999999999997</v>
      </c>
      <c r="E2185" s="12"/>
      <c r="F2185" s="255">
        <f>E2185*D2185</f>
        <v>0</v>
      </c>
      <c r="G2185" s="10"/>
      <c r="H2185" s="78"/>
      <c r="I2185" s="11"/>
      <c r="J2185" s="74"/>
    </row>
    <row r="2186" spans="1:10" x14ac:dyDescent="0.2">
      <c r="A2186" s="234"/>
      <c r="B2186" s="30"/>
      <c r="C2186" s="39"/>
      <c r="D2186" s="330"/>
      <c r="E2186" s="20"/>
      <c r="F2186" s="242"/>
      <c r="G2186" s="10"/>
      <c r="H2186" s="78"/>
      <c r="I2186" s="11"/>
      <c r="J2186" s="74"/>
    </row>
    <row r="2187" spans="1:10" ht="76.5" x14ac:dyDescent="0.2">
      <c r="A2187" s="234" t="s">
        <v>591</v>
      </c>
      <c r="B2187" s="30" t="s">
        <v>588</v>
      </c>
      <c r="C2187" s="39"/>
      <c r="D2187" s="330"/>
      <c r="E2187" s="20"/>
      <c r="F2187" s="242"/>
      <c r="G2187" s="10"/>
      <c r="H2187" s="78"/>
      <c r="I2187" s="11"/>
      <c r="J2187" s="74"/>
    </row>
    <row r="2188" spans="1:10" ht="25.5" x14ac:dyDescent="0.2">
      <c r="A2188" s="234"/>
      <c r="B2188" s="30" t="s">
        <v>589</v>
      </c>
      <c r="C2188" s="39"/>
      <c r="D2188" s="330"/>
      <c r="E2188" s="20"/>
      <c r="F2188" s="242"/>
      <c r="G2188" s="10"/>
      <c r="H2188" s="78"/>
      <c r="I2188" s="11"/>
      <c r="J2188" s="74"/>
    </row>
    <row r="2189" spans="1:10" ht="25.5" x14ac:dyDescent="0.2">
      <c r="A2189" s="234"/>
      <c r="B2189" s="30" t="s">
        <v>590</v>
      </c>
      <c r="C2189" s="39"/>
      <c r="D2189" s="330"/>
      <c r="E2189" s="20"/>
      <c r="F2189" s="242"/>
      <c r="G2189" s="10"/>
      <c r="H2189" s="78"/>
      <c r="I2189" s="11"/>
      <c r="J2189" s="74"/>
    </row>
    <row r="2190" spans="1:10" ht="25.5" x14ac:dyDescent="0.2">
      <c r="A2190" s="234"/>
      <c r="B2190" s="21" t="s">
        <v>565</v>
      </c>
      <c r="C2190" s="39"/>
      <c r="D2190" s="330"/>
      <c r="E2190" s="20"/>
      <c r="F2190" s="242"/>
      <c r="G2190" s="10"/>
      <c r="H2190" s="78"/>
      <c r="I2190" s="11"/>
      <c r="J2190" s="74"/>
    </row>
    <row r="2191" spans="1:10" x14ac:dyDescent="0.2">
      <c r="A2191" s="234"/>
      <c r="B2191" s="169" t="s">
        <v>97</v>
      </c>
      <c r="C2191" s="39"/>
      <c r="D2191" s="330"/>
      <c r="E2191" s="20"/>
      <c r="F2191" s="242"/>
      <c r="G2191" s="10"/>
      <c r="H2191" s="78"/>
      <c r="I2191" s="11"/>
      <c r="J2191" s="74"/>
    </row>
    <row r="2192" spans="1:10" x14ac:dyDescent="0.2">
      <c r="A2192" s="234"/>
      <c r="B2192" s="30"/>
      <c r="C2192" s="39"/>
      <c r="D2192" s="330"/>
      <c r="E2192" s="20"/>
      <c r="F2192" s="242"/>
      <c r="G2192" s="10"/>
      <c r="H2192" s="78"/>
      <c r="I2192" s="11"/>
      <c r="J2192" s="74"/>
    </row>
    <row r="2193" spans="1:10" x14ac:dyDescent="0.2">
      <c r="A2193" s="234"/>
      <c r="B2193" s="24" t="s">
        <v>1039</v>
      </c>
      <c r="C2193" s="62" t="s">
        <v>40</v>
      </c>
      <c r="D2193" s="52">
        <f>14.6*2</f>
        <v>29.2</v>
      </c>
      <c r="E2193" s="12"/>
      <c r="F2193" s="255">
        <f>E2193*D2193</f>
        <v>0</v>
      </c>
      <c r="G2193" s="10"/>
      <c r="H2193" s="78"/>
      <c r="I2193" s="11"/>
      <c r="J2193" s="74"/>
    </row>
    <row r="2194" spans="1:10" x14ac:dyDescent="0.2">
      <c r="A2194" s="234"/>
      <c r="B2194" s="30"/>
      <c r="C2194" s="39"/>
      <c r="D2194" s="330"/>
      <c r="E2194" s="20"/>
      <c r="F2194" s="242"/>
      <c r="G2194" s="10"/>
      <c r="H2194" s="78"/>
      <c r="I2194" s="11"/>
      <c r="J2194" s="74"/>
    </row>
    <row r="2195" spans="1:10" ht="51" x14ac:dyDescent="0.2">
      <c r="A2195" s="234" t="s">
        <v>592</v>
      </c>
      <c r="B2195" s="30" t="s">
        <v>1040</v>
      </c>
      <c r="C2195" s="39"/>
      <c r="D2195" s="330"/>
      <c r="E2195" s="20"/>
      <c r="F2195" s="242"/>
      <c r="G2195" s="10"/>
      <c r="H2195" s="78"/>
      <c r="I2195" s="11"/>
      <c r="J2195" s="74"/>
    </row>
    <row r="2196" spans="1:10" ht="38.25" x14ac:dyDescent="0.2">
      <c r="A2196" s="234"/>
      <c r="B2196" s="30" t="s">
        <v>1041</v>
      </c>
      <c r="C2196" s="39"/>
      <c r="D2196" s="330"/>
      <c r="E2196" s="20"/>
      <c r="F2196" s="242"/>
      <c r="G2196" s="10"/>
      <c r="H2196" s="78"/>
      <c r="I2196" s="11"/>
      <c r="J2196" s="74"/>
    </row>
    <row r="2197" spans="1:10" ht="51" x14ac:dyDescent="0.2">
      <c r="A2197" s="234"/>
      <c r="B2197" s="30" t="s">
        <v>1042</v>
      </c>
      <c r="C2197" s="39"/>
      <c r="D2197" s="330"/>
      <c r="E2197" s="20"/>
      <c r="F2197" s="242"/>
      <c r="G2197" s="10"/>
      <c r="H2197" s="78"/>
      <c r="I2197" s="11"/>
      <c r="J2197" s="74"/>
    </row>
    <row r="2198" spans="1:10" ht="25.5" x14ac:dyDescent="0.2">
      <c r="A2198" s="339"/>
      <c r="B2198" s="369" t="s">
        <v>565</v>
      </c>
      <c r="C2198" s="368"/>
      <c r="D2198" s="406"/>
      <c r="E2198" s="352"/>
      <c r="F2198" s="353"/>
      <c r="G2198" s="10"/>
      <c r="H2198" s="78"/>
      <c r="I2198" s="11"/>
      <c r="J2198" s="74"/>
    </row>
    <row r="2199" spans="1:10" x14ac:dyDescent="0.2">
      <c r="A2199" s="234"/>
      <c r="B2199" s="138"/>
      <c r="C2199" s="39"/>
      <c r="D2199" s="330"/>
      <c r="E2199" s="20"/>
      <c r="F2199" s="242"/>
      <c r="G2199" s="10"/>
      <c r="H2199" s="78"/>
      <c r="I2199" s="11"/>
      <c r="J2199" s="74"/>
    </row>
    <row r="2200" spans="1:10" x14ac:dyDescent="0.2">
      <c r="A2200" s="234"/>
      <c r="B2200" s="169" t="s">
        <v>97</v>
      </c>
      <c r="C2200" s="39"/>
      <c r="D2200" s="330"/>
      <c r="E2200" s="20"/>
      <c r="F2200" s="242"/>
      <c r="G2200" s="10"/>
      <c r="H2200" s="78"/>
      <c r="I2200" s="11"/>
      <c r="J2200" s="74"/>
    </row>
    <row r="2201" spans="1:10" x14ac:dyDescent="0.2">
      <c r="A2201" s="234"/>
      <c r="B2201" s="30"/>
      <c r="C2201" s="39"/>
      <c r="D2201" s="330"/>
      <c r="E2201" s="20"/>
      <c r="F2201" s="242"/>
      <c r="G2201" s="10"/>
      <c r="H2201" s="78"/>
      <c r="I2201" s="11"/>
      <c r="J2201" s="74"/>
    </row>
    <row r="2202" spans="1:10" x14ac:dyDescent="0.2">
      <c r="A2202" s="234"/>
      <c r="B2202" s="24" t="s">
        <v>1043</v>
      </c>
      <c r="C2202" s="62" t="s">
        <v>40</v>
      </c>
      <c r="D2202" s="52">
        <f>2*(2.89+2.28)</f>
        <v>10.34</v>
      </c>
      <c r="E2202" s="12"/>
      <c r="F2202" s="255">
        <f>E2202*D2202</f>
        <v>0</v>
      </c>
      <c r="G2202" s="10"/>
      <c r="H2202" s="78"/>
      <c r="I2202" s="11"/>
      <c r="J2202" s="74"/>
    </row>
    <row r="2203" spans="1:10" x14ac:dyDescent="0.2">
      <c r="A2203" s="234"/>
      <c r="B2203" s="30"/>
      <c r="C2203" s="39"/>
      <c r="D2203" s="330"/>
      <c r="E2203" s="20"/>
      <c r="F2203" s="242"/>
      <c r="G2203" s="10"/>
      <c r="H2203" s="78"/>
      <c r="I2203" s="11"/>
      <c r="J2203" s="74"/>
    </row>
    <row r="2204" spans="1:10" ht="38.25" x14ac:dyDescent="0.2">
      <c r="A2204" s="234" t="s">
        <v>593</v>
      </c>
      <c r="B2204" s="30" t="s">
        <v>1047</v>
      </c>
      <c r="C2204" s="39"/>
      <c r="D2204" s="330"/>
      <c r="E2204" s="20"/>
      <c r="F2204" s="242"/>
      <c r="G2204" s="10"/>
      <c r="H2204" s="78"/>
      <c r="I2204" s="11"/>
      <c r="J2204" s="74"/>
    </row>
    <row r="2205" spans="1:10" ht="63.75" x14ac:dyDescent="0.2">
      <c r="A2205" s="234"/>
      <c r="B2205" s="30" t="s">
        <v>1053</v>
      </c>
      <c r="C2205" s="39"/>
      <c r="D2205" s="330"/>
      <c r="E2205" s="20"/>
      <c r="F2205" s="242"/>
      <c r="G2205" s="10"/>
      <c r="H2205" s="78"/>
      <c r="I2205" s="11"/>
      <c r="J2205" s="74"/>
    </row>
    <row r="2206" spans="1:10" ht="38.25" x14ac:dyDescent="0.2">
      <c r="A2206" s="234"/>
      <c r="B2206" s="30" t="s">
        <v>1054</v>
      </c>
      <c r="C2206" s="39"/>
      <c r="D2206" s="330"/>
      <c r="E2206" s="20"/>
      <c r="F2206" s="242"/>
      <c r="G2206" s="10"/>
      <c r="H2206" s="78"/>
      <c r="I2206" s="11"/>
      <c r="J2206" s="74"/>
    </row>
    <row r="2207" spans="1:10" ht="38.25" x14ac:dyDescent="0.2">
      <c r="A2207" s="234"/>
      <c r="B2207" s="30" t="s">
        <v>1044</v>
      </c>
      <c r="C2207" s="39"/>
      <c r="D2207" s="330"/>
      <c r="E2207" s="20"/>
      <c r="F2207" s="242"/>
      <c r="G2207" s="10"/>
      <c r="H2207" s="78"/>
      <c r="I2207" s="11"/>
      <c r="J2207" s="74"/>
    </row>
    <row r="2208" spans="1:10" ht="25.5" x14ac:dyDescent="0.2">
      <c r="A2208" s="234"/>
      <c r="B2208" s="21" t="s">
        <v>565</v>
      </c>
      <c r="C2208" s="39"/>
      <c r="D2208" s="330"/>
      <c r="E2208" s="20"/>
      <c r="F2208" s="242"/>
      <c r="G2208" s="10"/>
      <c r="H2208" s="78"/>
      <c r="I2208" s="11"/>
      <c r="J2208" s="74"/>
    </row>
    <row r="2209" spans="1:13" x14ac:dyDescent="0.2">
      <c r="A2209" s="234"/>
      <c r="B2209" s="169" t="s">
        <v>97</v>
      </c>
      <c r="C2209" s="39"/>
      <c r="D2209" s="330"/>
      <c r="E2209" s="20"/>
      <c r="F2209" s="242"/>
      <c r="G2209" s="10"/>
      <c r="H2209" s="78"/>
      <c r="I2209" s="11"/>
      <c r="J2209" s="74"/>
    </row>
    <row r="2210" spans="1:13" x14ac:dyDescent="0.2">
      <c r="A2210" s="234"/>
      <c r="B2210" s="30"/>
      <c r="C2210" s="27"/>
      <c r="D2210" s="29"/>
      <c r="E2210" s="37"/>
      <c r="F2210" s="249"/>
      <c r="G2210" s="209"/>
      <c r="H2210" s="78"/>
      <c r="I2210" s="14"/>
      <c r="J2210" s="74"/>
    </row>
    <row r="2211" spans="1:13" x14ac:dyDescent="0.2">
      <c r="A2211" s="234"/>
      <c r="B2211" s="26" t="s">
        <v>1046</v>
      </c>
      <c r="C2211" s="27" t="s">
        <v>40</v>
      </c>
      <c r="D2211" s="29">
        <f>3.43*3+7.55</f>
        <v>17.84</v>
      </c>
      <c r="E2211" s="38"/>
      <c r="F2211" s="249">
        <f>E2211*D2211</f>
        <v>0</v>
      </c>
      <c r="G2211" s="203"/>
      <c r="H2211" s="78"/>
      <c r="I2211" s="14"/>
      <c r="J2211" s="74"/>
    </row>
    <row r="2212" spans="1:13" x14ac:dyDescent="0.2">
      <c r="A2212" s="234"/>
      <c r="B2212" s="24"/>
      <c r="C2212" s="62"/>
      <c r="D2212" s="52"/>
      <c r="E2212" s="38"/>
      <c r="F2212" s="249"/>
      <c r="G2212" s="203"/>
      <c r="H2212" s="78"/>
      <c r="I2212" s="14"/>
      <c r="J2212" s="74"/>
      <c r="K2212" s="74"/>
      <c r="L2212" s="74"/>
      <c r="M2212" s="74"/>
    </row>
    <row r="2213" spans="1:13" ht="38.25" x14ac:dyDescent="0.2">
      <c r="A2213" s="234" t="s">
        <v>1150</v>
      </c>
      <c r="B2213" s="30" t="s">
        <v>1297</v>
      </c>
      <c r="C2213" s="62"/>
      <c r="D2213" s="52"/>
      <c r="E2213" s="38"/>
      <c r="F2213" s="249"/>
      <c r="G2213" s="203"/>
      <c r="H2213" s="78"/>
      <c r="I2213" s="14"/>
      <c r="J2213" s="74"/>
      <c r="K2213" s="74"/>
      <c r="L2213" s="74"/>
      <c r="M2213" s="74"/>
    </row>
    <row r="2214" spans="1:13" ht="63.75" x14ac:dyDescent="0.2">
      <c r="A2214" s="234"/>
      <c r="B2214" s="30" t="s">
        <v>595</v>
      </c>
      <c r="C2214" s="62"/>
      <c r="D2214" s="52"/>
      <c r="E2214" s="38"/>
      <c r="F2214" s="249"/>
      <c r="G2214" s="203"/>
      <c r="I2214" s="14"/>
      <c r="J2214" s="74"/>
      <c r="K2214" s="74"/>
      <c r="L2214" s="74"/>
      <c r="M2214" s="74"/>
    </row>
    <row r="2215" spans="1:13" ht="63.75" x14ac:dyDescent="0.2">
      <c r="A2215" s="234"/>
      <c r="B2215" s="30" t="s">
        <v>594</v>
      </c>
      <c r="C2215" s="62"/>
      <c r="D2215" s="52"/>
      <c r="E2215" s="38"/>
      <c r="F2215" s="249"/>
      <c r="G2215" s="203"/>
      <c r="I2215" s="14"/>
      <c r="J2215" s="74"/>
      <c r="K2215" s="74"/>
      <c r="L2215" s="74"/>
      <c r="M2215" s="74"/>
    </row>
    <row r="2216" spans="1:13" ht="25.5" x14ac:dyDescent="0.2">
      <c r="A2216" s="234"/>
      <c r="B2216" s="21" t="s">
        <v>565</v>
      </c>
      <c r="C2216" s="62"/>
      <c r="D2216" s="52"/>
      <c r="E2216" s="38"/>
      <c r="F2216" s="249"/>
      <c r="G2216" s="203"/>
      <c r="I2216" s="14"/>
      <c r="J2216" s="74"/>
      <c r="K2216" s="74"/>
      <c r="L2216" s="74"/>
      <c r="M2216" s="74"/>
    </row>
    <row r="2217" spans="1:13" x14ac:dyDescent="0.2">
      <c r="A2217" s="234"/>
      <c r="B2217" s="169" t="s">
        <v>97</v>
      </c>
      <c r="C2217" s="62"/>
      <c r="D2217" s="52"/>
      <c r="E2217" s="38"/>
      <c r="F2217" s="249"/>
      <c r="G2217" s="203"/>
      <c r="I2217" s="14"/>
      <c r="J2217" s="74"/>
      <c r="K2217" s="74"/>
      <c r="L2217" s="74"/>
      <c r="M2217" s="74"/>
    </row>
    <row r="2218" spans="1:13" x14ac:dyDescent="0.2">
      <c r="A2218" s="234"/>
      <c r="B2218" s="24"/>
      <c r="C2218" s="62"/>
      <c r="D2218" s="52"/>
      <c r="E2218" s="38"/>
      <c r="F2218" s="249"/>
      <c r="G2218" s="203"/>
      <c r="I2218" s="14"/>
      <c r="J2218" s="74"/>
      <c r="K2218" s="74"/>
      <c r="L2218" s="74"/>
      <c r="M2218" s="74"/>
    </row>
    <row r="2219" spans="1:13" x14ac:dyDescent="0.2">
      <c r="A2219" s="234"/>
      <c r="B2219" s="24" t="s">
        <v>28</v>
      </c>
      <c r="C2219" s="62"/>
      <c r="D2219" s="52"/>
      <c r="E2219" s="38"/>
      <c r="F2219" s="249"/>
      <c r="G2219" s="203"/>
      <c r="H2219" s="78"/>
      <c r="I2219" s="14"/>
      <c r="J2219" s="74"/>
      <c r="K2219" s="74"/>
      <c r="L2219" s="74"/>
      <c r="M2219" s="74"/>
    </row>
    <row r="2220" spans="1:13" x14ac:dyDescent="0.2">
      <c r="A2220" s="234"/>
      <c r="B2220" s="24" t="s">
        <v>1138</v>
      </c>
      <c r="C2220" s="62"/>
      <c r="D2220" s="52">
        <f>2.8*4+1.4*2*4</f>
        <v>22.4</v>
      </c>
      <c r="E2220" s="38"/>
      <c r="F2220" s="249"/>
      <c r="G2220" s="203"/>
      <c r="H2220" s="78"/>
      <c r="I2220" s="14"/>
      <c r="J2220" s="74"/>
      <c r="K2220" s="74"/>
      <c r="L2220" s="74"/>
      <c r="M2220" s="74"/>
    </row>
    <row r="2221" spans="1:13" x14ac:dyDescent="0.2">
      <c r="A2221" s="234"/>
      <c r="B2221" s="24"/>
      <c r="C2221" s="62"/>
      <c r="D2221" s="52"/>
      <c r="E2221" s="38"/>
      <c r="F2221" s="249"/>
      <c r="G2221" s="203"/>
      <c r="H2221" s="78"/>
      <c r="I2221" s="14"/>
      <c r="J2221" s="74"/>
      <c r="K2221" s="74"/>
      <c r="L2221" s="74"/>
      <c r="M2221" s="74"/>
    </row>
    <row r="2222" spans="1:13" x14ac:dyDescent="0.2">
      <c r="A2222" s="234"/>
      <c r="B2222" s="24" t="s">
        <v>1048</v>
      </c>
      <c r="C2222" s="62"/>
      <c r="D2222" s="52"/>
      <c r="E2222" s="38"/>
      <c r="F2222" s="249"/>
      <c r="G2222" s="203"/>
      <c r="H2222" s="78"/>
      <c r="I2222" s="14"/>
      <c r="J2222" s="74"/>
      <c r="K2222" s="74"/>
      <c r="L2222" s="74"/>
      <c r="M2222" s="74"/>
    </row>
    <row r="2223" spans="1:13" x14ac:dyDescent="0.2">
      <c r="A2223" s="234"/>
      <c r="B2223" s="19" t="s">
        <v>1139</v>
      </c>
      <c r="C2223" s="62"/>
      <c r="D2223" s="312">
        <f>4*(1.4*2+2.8)</f>
        <v>22.4</v>
      </c>
      <c r="E2223" s="38"/>
      <c r="F2223" s="249"/>
      <c r="G2223" s="203"/>
      <c r="H2223" s="78"/>
      <c r="I2223" s="14"/>
      <c r="J2223" s="74"/>
      <c r="K2223" s="74"/>
      <c r="L2223" s="74"/>
      <c r="M2223" s="74"/>
    </row>
    <row r="2224" spans="1:13" x14ac:dyDescent="0.2">
      <c r="A2224" s="234"/>
      <c r="B2224" s="24"/>
      <c r="C2224" s="62"/>
      <c r="D2224" s="52"/>
      <c r="E2224" s="38"/>
      <c r="F2224" s="249"/>
      <c r="G2224" s="203"/>
      <c r="H2224" s="78"/>
      <c r="I2224" s="14"/>
      <c r="J2224" s="74"/>
      <c r="K2224" s="74"/>
      <c r="L2224" s="74"/>
      <c r="M2224" s="74"/>
    </row>
    <row r="2225" spans="1:13" x14ac:dyDescent="0.2">
      <c r="A2225" s="339"/>
      <c r="B2225" s="380" t="s">
        <v>1634</v>
      </c>
      <c r="C2225" s="363" t="s">
        <v>40</v>
      </c>
      <c r="D2225" s="407">
        <f>SUM(D2218:D2224)</f>
        <v>44.8</v>
      </c>
      <c r="E2225" s="343"/>
      <c r="F2225" s="344">
        <f>E2225*D2225</f>
        <v>0</v>
      </c>
      <c r="G2225" s="203"/>
      <c r="H2225" s="78"/>
      <c r="I2225" s="14"/>
      <c r="J2225" s="74"/>
      <c r="K2225" s="74"/>
      <c r="L2225" s="74"/>
      <c r="M2225" s="74"/>
    </row>
    <row r="2226" spans="1:13" x14ac:dyDescent="0.2">
      <c r="A2226" s="234"/>
      <c r="B2226" s="24"/>
      <c r="C2226" s="17"/>
      <c r="D2226" s="125"/>
      <c r="E2226" s="12"/>
      <c r="F2226" s="427"/>
      <c r="G2226" s="203"/>
      <c r="H2226" s="78"/>
      <c r="I2226" s="14"/>
      <c r="J2226" s="74"/>
      <c r="K2226" s="74"/>
      <c r="L2226" s="74"/>
      <c r="M2226" s="74"/>
    </row>
    <row r="2227" spans="1:13" ht="89.25" x14ac:dyDescent="0.2">
      <c r="A2227" s="234" t="s">
        <v>1633</v>
      </c>
      <c r="B2227" s="21" t="s">
        <v>1151</v>
      </c>
      <c r="C2227" s="17"/>
      <c r="D2227" s="125"/>
      <c r="E2227" s="12"/>
      <c r="F2227" s="249"/>
      <c r="G2227" s="203"/>
      <c r="H2227" s="78"/>
      <c r="I2227" s="14"/>
      <c r="J2227" s="74"/>
      <c r="K2227" s="74"/>
      <c r="L2227" s="74"/>
      <c r="M2227" s="74"/>
    </row>
    <row r="2228" spans="1:13" ht="25.5" x14ac:dyDescent="0.2">
      <c r="A2228" s="234"/>
      <c r="B2228" s="21" t="s">
        <v>1152</v>
      </c>
      <c r="C2228" s="17"/>
      <c r="D2228" s="125"/>
      <c r="E2228" s="12"/>
      <c r="F2228" s="249"/>
      <c r="G2228" s="203"/>
      <c r="H2228" s="78"/>
      <c r="I2228" s="14"/>
      <c r="J2228" s="74"/>
      <c r="K2228" s="74"/>
      <c r="L2228" s="74"/>
      <c r="M2228" s="74"/>
    </row>
    <row r="2229" spans="1:13" ht="25.5" x14ac:dyDescent="0.2">
      <c r="A2229" s="234"/>
      <c r="B2229" s="21" t="s">
        <v>1153</v>
      </c>
      <c r="C2229" s="17"/>
      <c r="D2229" s="125"/>
      <c r="E2229" s="12"/>
      <c r="F2229" s="249"/>
      <c r="G2229" s="203"/>
      <c r="H2229" s="78"/>
      <c r="I2229" s="14"/>
      <c r="J2229" s="74"/>
      <c r="K2229" s="74"/>
      <c r="L2229" s="74"/>
      <c r="M2229" s="74"/>
    </row>
    <row r="2230" spans="1:13" ht="25.5" x14ac:dyDescent="0.2">
      <c r="A2230" s="234"/>
      <c r="B2230" s="21" t="s">
        <v>565</v>
      </c>
      <c r="C2230" s="17"/>
      <c r="D2230" s="125"/>
      <c r="E2230" s="12"/>
      <c r="F2230" s="249"/>
      <c r="G2230" s="203"/>
      <c r="H2230" s="78"/>
      <c r="I2230" s="14"/>
      <c r="J2230" s="74"/>
      <c r="K2230" s="74"/>
      <c r="L2230" s="74"/>
      <c r="M2230" s="74"/>
    </row>
    <row r="2231" spans="1:13" ht="25.5" x14ac:dyDescent="0.2">
      <c r="A2231" s="234"/>
      <c r="B2231" s="25" t="s">
        <v>566</v>
      </c>
      <c r="C2231" s="17"/>
      <c r="D2231" s="125"/>
      <c r="E2231" s="12"/>
      <c r="F2231" s="249"/>
      <c r="G2231" s="203"/>
      <c r="H2231" s="78"/>
      <c r="I2231" s="14"/>
      <c r="J2231" s="74"/>
      <c r="K2231" s="74"/>
      <c r="L2231" s="74"/>
      <c r="M2231" s="74"/>
    </row>
    <row r="2232" spans="1:13" x14ac:dyDescent="0.2">
      <c r="A2232" s="234"/>
      <c r="B2232" s="24"/>
      <c r="C2232" s="17"/>
      <c r="D2232" s="125"/>
      <c r="E2232" s="12"/>
      <c r="F2232" s="249"/>
      <c r="G2232" s="203"/>
      <c r="H2232" s="78"/>
      <c r="I2232" s="14"/>
      <c r="J2232" s="74"/>
      <c r="K2232" s="74"/>
      <c r="L2232" s="74"/>
      <c r="M2232" s="74"/>
    </row>
    <row r="2233" spans="1:13" x14ac:dyDescent="0.2">
      <c r="A2233" s="234"/>
      <c r="B2233" s="24" t="s">
        <v>1142</v>
      </c>
      <c r="C2233" s="17" t="s">
        <v>39</v>
      </c>
      <c r="D2233" s="52">
        <f>2.9*1.4</f>
        <v>4.0599999999999996</v>
      </c>
      <c r="E2233" s="12"/>
      <c r="F2233" s="249">
        <f>+D2233*E2233</f>
        <v>0</v>
      </c>
      <c r="G2233" s="203"/>
      <c r="H2233" s="78"/>
      <c r="I2233" s="14"/>
      <c r="J2233" s="74"/>
      <c r="K2233" s="74"/>
      <c r="L2233" s="74"/>
      <c r="M2233" s="74"/>
    </row>
    <row r="2234" spans="1:13" x14ac:dyDescent="0.2">
      <c r="A2234" s="234"/>
      <c r="B2234" s="24"/>
      <c r="C2234" s="17"/>
      <c r="D2234" s="52"/>
      <c r="E2234" s="12"/>
      <c r="F2234" s="249"/>
      <c r="G2234" s="203"/>
      <c r="H2234" s="78"/>
      <c r="I2234" s="14"/>
      <c r="J2234" s="74"/>
      <c r="K2234" s="74"/>
      <c r="L2234" s="74"/>
      <c r="M2234" s="74"/>
    </row>
    <row r="2235" spans="1:13" ht="76.5" x14ac:dyDescent="0.2">
      <c r="A2235" s="234" t="s">
        <v>1635</v>
      </c>
      <c r="B2235" s="338" t="s">
        <v>1572</v>
      </c>
      <c r="C2235" s="62"/>
      <c r="D2235" s="24"/>
      <c r="E2235" s="38"/>
      <c r="F2235" s="249"/>
      <c r="G2235" s="203"/>
      <c r="H2235" s="78"/>
      <c r="I2235" s="14"/>
      <c r="J2235" s="74"/>
      <c r="K2235" s="74"/>
      <c r="L2235" s="74"/>
      <c r="M2235" s="74"/>
    </row>
    <row r="2236" spans="1:13" ht="63.75" x14ac:dyDescent="0.2">
      <c r="A2236" s="234"/>
      <c r="B2236" s="338" t="s">
        <v>1573</v>
      </c>
      <c r="C2236" s="62"/>
      <c r="D2236" s="24"/>
      <c r="E2236" s="38"/>
      <c r="F2236" s="249"/>
      <c r="G2236" s="203"/>
      <c r="H2236" s="78"/>
      <c r="I2236" s="14"/>
      <c r="J2236" s="74"/>
      <c r="K2236" s="74"/>
      <c r="L2236" s="74"/>
      <c r="M2236" s="74"/>
    </row>
    <row r="2237" spans="1:13" ht="25.5" x14ac:dyDescent="0.2">
      <c r="A2237" s="234"/>
      <c r="B2237" s="21" t="s">
        <v>565</v>
      </c>
      <c r="C2237" s="62"/>
      <c r="D2237" s="24"/>
      <c r="E2237" s="38"/>
      <c r="F2237" s="249"/>
      <c r="G2237" s="203"/>
      <c r="H2237" s="78"/>
      <c r="I2237" s="14"/>
      <c r="J2237" s="74"/>
      <c r="K2237" s="74"/>
      <c r="L2237" s="74"/>
      <c r="M2237" s="74"/>
    </row>
    <row r="2238" spans="1:13" x14ac:dyDescent="0.2">
      <c r="A2238" s="234"/>
      <c r="B2238" s="338" t="s">
        <v>1574</v>
      </c>
      <c r="C2238" s="62"/>
      <c r="D2238" s="24"/>
      <c r="E2238" s="38"/>
      <c r="F2238" s="249"/>
      <c r="G2238" s="203"/>
      <c r="H2238" s="78"/>
      <c r="I2238" s="14"/>
      <c r="J2238" s="74"/>
      <c r="K2238" s="74"/>
      <c r="L2238" s="74"/>
      <c r="M2238" s="74"/>
    </row>
    <row r="2239" spans="1:13" x14ac:dyDescent="0.2">
      <c r="A2239" s="234"/>
      <c r="B2239" s="24"/>
      <c r="C2239" s="62"/>
      <c r="D2239" s="24"/>
      <c r="E2239" s="38"/>
      <c r="F2239" s="249"/>
      <c r="G2239" s="203"/>
      <c r="H2239" s="78"/>
      <c r="I2239" s="14"/>
      <c r="J2239" s="74"/>
      <c r="K2239" s="74"/>
      <c r="L2239" s="74"/>
      <c r="M2239" s="74"/>
    </row>
    <row r="2240" spans="1:13" x14ac:dyDescent="0.2">
      <c r="A2240" s="234"/>
      <c r="B2240" s="24" t="s">
        <v>1575</v>
      </c>
      <c r="C2240" s="62" t="s">
        <v>33</v>
      </c>
      <c r="D2240" s="24">
        <f>10+11*4</f>
        <v>54</v>
      </c>
      <c r="E2240" s="38"/>
      <c r="F2240" s="249">
        <f>E2240*D2240</f>
        <v>0</v>
      </c>
      <c r="G2240" s="203"/>
      <c r="H2240" s="78"/>
      <c r="I2240" s="14"/>
      <c r="J2240" s="74"/>
      <c r="K2240" s="74"/>
      <c r="L2240" s="74"/>
      <c r="M2240" s="74"/>
    </row>
    <row r="2241" spans="1:13" x14ac:dyDescent="0.2">
      <c r="A2241" s="234"/>
      <c r="B2241" s="24"/>
      <c r="C2241" s="62"/>
      <c r="D2241" s="24"/>
      <c r="E2241" s="38"/>
      <c r="F2241" s="249"/>
      <c r="G2241" s="203"/>
      <c r="H2241" s="78"/>
      <c r="I2241" s="14"/>
      <c r="J2241" s="74"/>
      <c r="K2241" s="74"/>
      <c r="L2241" s="74"/>
      <c r="M2241" s="74"/>
    </row>
    <row r="2242" spans="1:13" ht="38.25" x14ac:dyDescent="0.2">
      <c r="A2242" s="234" t="s">
        <v>1674</v>
      </c>
      <c r="B2242" s="30" t="s">
        <v>1654</v>
      </c>
      <c r="C2242" s="17"/>
      <c r="D2242" s="125"/>
      <c r="E2242" s="38"/>
      <c r="F2242" s="249"/>
      <c r="G2242" s="203"/>
      <c r="H2242" s="78"/>
      <c r="I2242" s="14"/>
      <c r="J2242" s="74"/>
      <c r="K2242" s="74"/>
      <c r="L2242" s="74"/>
      <c r="M2242" s="74"/>
    </row>
    <row r="2243" spans="1:13" ht="63.75" x14ac:dyDescent="0.2">
      <c r="A2243" s="434"/>
      <c r="B2243" s="30" t="s">
        <v>1053</v>
      </c>
      <c r="C2243" s="17"/>
      <c r="D2243" s="125"/>
      <c r="E2243" s="38"/>
      <c r="F2243" s="249"/>
      <c r="G2243" s="203"/>
      <c r="H2243" s="78"/>
      <c r="I2243" s="14"/>
      <c r="J2243" s="74"/>
      <c r="K2243" s="74"/>
      <c r="L2243" s="74"/>
      <c r="M2243" s="74"/>
    </row>
    <row r="2244" spans="1:13" ht="38.25" x14ac:dyDescent="0.2">
      <c r="A2244" s="438"/>
      <c r="B2244" s="418" t="s">
        <v>1054</v>
      </c>
      <c r="C2244" s="419"/>
      <c r="D2244" s="420"/>
      <c r="E2244" s="421"/>
      <c r="F2244" s="428"/>
      <c r="G2244" s="203"/>
      <c r="H2244" s="78"/>
      <c r="I2244" s="14"/>
      <c r="J2244" s="74"/>
      <c r="K2244" s="74"/>
      <c r="L2244" s="74"/>
      <c r="M2244" s="74"/>
    </row>
    <row r="2245" spans="1:13" x14ac:dyDescent="0.2">
      <c r="A2245" s="234"/>
      <c r="B2245" s="30"/>
      <c r="C2245" s="17"/>
      <c r="D2245" s="125"/>
      <c r="E2245" s="37"/>
      <c r="F2245" s="249"/>
      <c r="G2245" s="203"/>
      <c r="H2245" s="78"/>
      <c r="I2245" s="14"/>
      <c r="J2245" s="74"/>
      <c r="K2245" s="74"/>
      <c r="L2245" s="74"/>
      <c r="M2245" s="74"/>
    </row>
    <row r="2246" spans="1:13" ht="38.25" x14ac:dyDescent="0.2">
      <c r="A2246" s="434"/>
      <c r="B2246" s="30" t="s">
        <v>1044</v>
      </c>
      <c r="C2246" s="17"/>
      <c r="D2246" s="125"/>
      <c r="E2246" s="37"/>
      <c r="F2246" s="249"/>
      <c r="G2246" s="203"/>
      <c r="H2246" s="78"/>
      <c r="I2246" s="14"/>
      <c r="J2246" s="74"/>
      <c r="K2246" s="74"/>
      <c r="L2246" s="74"/>
      <c r="M2246" s="74"/>
    </row>
    <row r="2247" spans="1:13" ht="25.5" x14ac:dyDescent="0.2">
      <c r="A2247" s="434"/>
      <c r="B2247" s="21" t="s">
        <v>565</v>
      </c>
      <c r="C2247" s="17"/>
      <c r="D2247" s="125"/>
      <c r="E2247" s="37"/>
      <c r="F2247" s="249"/>
      <c r="G2247" s="203"/>
      <c r="H2247" s="78"/>
      <c r="I2247" s="14"/>
      <c r="J2247" s="74"/>
      <c r="K2247" s="74"/>
      <c r="L2247" s="74"/>
      <c r="M2247" s="74"/>
    </row>
    <row r="2248" spans="1:13" x14ac:dyDescent="0.2">
      <c r="A2248" s="434"/>
      <c r="B2248" s="169" t="s">
        <v>97</v>
      </c>
      <c r="C2248" s="17"/>
      <c r="D2248" s="125"/>
      <c r="E2248" s="37"/>
      <c r="F2248" s="249"/>
      <c r="G2248" s="203"/>
      <c r="H2248" s="78"/>
      <c r="I2248" s="14"/>
      <c r="J2248" s="74"/>
      <c r="K2248" s="74"/>
      <c r="L2248" s="74"/>
      <c r="M2248" s="74"/>
    </row>
    <row r="2249" spans="1:13" x14ac:dyDescent="0.2">
      <c r="A2249" s="434"/>
      <c r="B2249" s="138"/>
      <c r="C2249" s="17"/>
      <c r="D2249" s="125"/>
      <c r="E2249" s="37"/>
      <c r="F2249" s="249"/>
      <c r="G2249" s="203"/>
      <c r="H2249" s="78"/>
      <c r="I2249" s="14"/>
      <c r="J2249" s="74"/>
      <c r="K2249" s="74"/>
      <c r="L2249" s="74"/>
      <c r="M2249" s="74"/>
    </row>
    <row r="2250" spans="1:13" x14ac:dyDescent="0.2">
      <c r="A2250" s="434"/>
      <c r="B2250" s="24" t="s">
        <v>1655</v>
      </c>
      <c r="C2250" s="17" t="s">
        <v>39</v>
      </c>
      <c r="D2250" s="24">
        <f>9.6*1.4*2</f>
        <v>26.88</v>
      </c>
      <c r="E2250" s="12"/>
      <c r="F2250" s="249">
        <f>E2250*D2250</f>
        <v>0</v>
      </c>
      <c r="G2250" s="203"/>
      <c r="H2250" s="78"/>
      <c r="I2250" s="14"/>
      <c r="J2250" s="74"/>
      <c r="K2250" s="74"/>
      <c r="L2250" s="74"/>
      <c r="M2250" s="74"/>
    </row>
    <row r="2251" spans="1:13" ht="13.5" thickBot="1" x14ac:dyDescent="0.25">
      <c r="A2251" s="434"/>
      <c r="B2251" s="30"/>
      <c r="C2251" s="17"/>
      <c r="D2251" s="125"/>
      <c r="E2251" s="38"/>
      <c r="F2251" s="249"/>
      <c r="G2251" s="203"/>
      <c r="H2251" s="78"/>
      <c r="I2251" s="14"/>
      <c r="J2251" s="74"/>
      <c r="K2251" s="74"/>
      <c r="L2251" s="74"/>
      <c r="M2251" s="74"/>
    </row>
    <row r="2252" spans="1:13" ht="15.75" thickBot="1" x14ac:dyDescent="0.25">
      <c r="A2252" s="261" t="str">
        <f>A2096</f>
        <v>11.</v>
      </c>
      <c r="B2252" s="49" t="s">
        <v>61</v>
      </c>
      <c r="C2252" s="50"/>
      <c r="D2252" s="324"/>
      <c r="E2252" s="51"/>
      <c r="F2252" s="244">
        <f>SUM(F2098:F2250)</f>
        <v>0</v>
      </c>
      <c r="G2252" s="198"/>
      <c r="H2252" s="15"/>
      <c r="I2252" s="15"/>
    </row>
    <row r="2253" spans="1:13" ht="15.75" thickBot="1" x14ac:dyDescent="0.25">
      <c r="A2253" s="262" t="s">
        <v>74</v>
      </c>
      <c r="B2253" s="57" t="s">
        <v>30</v>
      </c>
      <c r="C2253" s="58"/>
      <c r="D2253" s="325"/>
      <c r="E2253" s="59"/>
      <c r="F2253" s="263"/>
      <c r="G2253" s="198"/>
      <c r="H2253" s="15"/>
      <c r="I2253" s="15"/>
    </row>
    <row r="2254" spans="1:13" x14ac:dyDescent="0.2">
      <c r="A2254" s="234"/>
      <c r="B2254" s="25"/>
      <c r="C2254" s="25"/>
      <c r="D2254" s="65"/>
      <c r="E2254" s="64"/>
      <c r="F2254" s="235"/>
      <c r="H2254" s="78"/>
      <c r="I2254" s="78"/>
    </row>
    <row r="2255" spans="1:13" ht="51" x14ac:dyDescent="0.2">
      <c r="A2255" s="259" t="s">
        <v>280</v>
      </c>
      <c r="B2255" s="166" t="s">
        <v>605</v>
      </c>
      <c r="C2255" s="17"/>
      <c r="D2255" s="312"/>
      <c r="E2255" s="18"/>
      <c r="F2255" s="255"/>
      <c r="G2255" s="105"/>
      <c r="H2255" s="74"/>
      <c r="I2255" s="74"/>
    </row>
    <row r="2256" spans="1:13" ht="38.25" x14ac:dyDescent="0.2">
      <c r="A2256" s="274"/>
      <c r="B2256" s="166" t="s">
        <v>606</v>
      </c>
      <c r="C2256" s="17"/>
      <c r="D2256" s="312"/>
      <c r="E2256" s="18"/>
      <c r="F2256" s="255"/>
      <c r="G2256" s="105"/>
      <c r="H2256" s="74"/>
      <c r="I2256" s="74"/>
    </row>
    <row r="2257" spans="1:9" ht="25.5" x14ac:dyDescent="0.2">
      <c r="A2257" s="274"/>
      <c r="B2257" s="166" t="s">
        <v>607</v>
      </c>
      <c r="C2257" s="17"/>
      <c r="D2257" s="312"/>
      <c r="E2257" s="18"/>
      <c r="F2257" s="255"/>
      <c r="G2257" s="105"/>
      <c r="H2257" s="74"/>
      <c r="I2257" s="81"/>
    </row>
    <row r="2258" spans="1:9" ht="25.5" x14ac:dyDescent="0.2">
      <c r="A2258" s="274"/>
      <c r="B2258" s="166" t="s">
        <v>608</v>
      </c>
      <c r="C2258" s="17"/>
      <c r="D2258" s="312"/>
      <c r="E2258" s="18"/>
      <c r="F2258" s="255"/>
      <c r="G2258" s="105"/>
      <c r="H2258" s="74"/>
      <c r="I2258" s="74"/>
    </row>
    <row r="2259" spans="1:9" ht="25.5" x14ac:dyDescent="0.2">
      <c r="A2259" s="274"/>
      <c r="B2259" s="166" t="s">
        <v>609</v>
      </c>
      <c r="C2259" s="17"/>
      <c r="D2259" s="312"/>
      <c r="E2259" s="18"/>
      <c r="F2259" s="255"/>
      <c r="G2259" s="105"/>
      <c r="H2259" s="74"/>
      <c r="I2259" s="74"/>
    </row>
    <row r="2260" spans="1:9" x14ac:dyDescent="0.2">
      <c r="A2260" s="274"/>
      <c r="B2260" s="166" t="s">
        <v>610</v>
      </c>
      <c r="C2260" s="17"/>
      <c r="D2260" s="312"/>
      <c r="E2260" s="18"/>
      <c r="F2260" s="255"/>
      <c r="G2260" s="105"/>
      <c r="H2260" s="74"/>
      <c r="I2260" s="74"/>
    </row>
    <row r="2261" spans="1:9" x14ac:dyDescent="0.2">
      <c r="A2261" s="274"/>
      <c r="B2261" s="166"/>
      <c r="C2261" s="17"/>
      <c r="D2261" s="312"/>
      <c r="E2261" s="18"/>
      <c r="F2261" s="255"/>
      <c r="G2261" s="105"/>
      <c r="H2261" s="74"/>
      <c r="I2261" s="74"/>
    </row>
    <row r="2262" spans="1:9" ht="39.75" customHeight="1" x14ac:dyDescent="0.2">
      <c r="A2262" s="257" t="s">
        <v>159</v>
      </c>
      <c r="B2262" s="166" t="s">
        <v>1058</v>
      </c>
      <c r="C2262" s="62"/>
      <c r="D2262" s="29"/>
      <c r="E2262" s="23"/>
      <c r="F2262" s="255"/>
      <c r="G2262" s="98"/>
      <c r="H2262" s="74"/>
      <c r="I2262" s="74"/>
    </row>
    <row r="2263" spans="1:9" x14ac:dyDescent="0.2">
      <c r="A2263" s="274"/>
      <c r="B2263" s="25"/>
      <c r="C2263" s="25"/>
      <c r="D2263" s="65"/>
      <c r="E2263" s="25"/>
      <c r="F2263" s="249"/>
      <c r="H2263" s="74"/>
      <c r="I2263" s="81"/>
    </row>
    <row r="2264" spans="1:9" x14ac:dyDescent="0.2">
      <c r="A2264" s="274"/>
      <c r="B2264" s="25" t="s">
        <v>28</v>
      </c>
      <c r="C2264" s="25"/>
      <c r="D2264" s="65"/>
      <c r="E2264" s="25"/>
      <c r="F2264" s="249"/>
      <c r="H2264" s="74"/>
      <c r="I2264" s="81"/>
    </row>
    <row r="2265" spans="1:9" ht="51" x14ac:dyDescent="0.2">
      <c r="A2265" s="274"/>
      <c r="B2265" s="26" t="s">
        <v>1059</v>
      </c>
      <c r="C2265" s="25"/>
      <c r="D2265" s="29">
        <f>4+4.14+4.31+4.05+4.02+4.1+4.34+4.18+4.33+5.39+1.59+4.36+4.18+4.67+4.69+4.37+4.13+4.44+5.46+1.57+4.31+4.09+2.74</f>
        <v>93.45999999999998</v>
      </c>
      <c r="E2265" s="25"/>
      <c r="F2265" s="249"/>
      <c r="H2265" s="74"/>
      <c r="I2265" s="81"/>
    </row>
    <row r="2266" spans="1:9" x14ac:dyDescent="0.2">
      <c r="A2266" s="274"/>
      <c r="B2266" s="25"/>
      <c r="C2266" s="25"/>
      <c r="D2266" s="65"/>
      <c r="E2266" s="25"/>
      <c r="F2266" s="255"/>
      <c r="H2266" s="74"/>
      <c r="I2266" s="66"/>
    </row>
    <row r="2267" spans="1:9" x14ac:dyDescent="0.2">
      <c r="A2267" s="274"/>
      <c r="B2267" s="25" t="s">
        <v>746</v>
      </c>
      <c r="C2267" s="25"/>
      <c r="D2267" s="65"/>
      <c r="E2267" s="25"/>
      <c r="F2267" s="255"/>
      <c r="H2267" s="74"/>
      <c r="I2267" s="75"/>
    </row>
    <row r="2268" spans="1:9" ht="51" x14ac:dyDescent="0.2">
      <c r="A2268" s="274"/>
      <c r="B2268" s="26" t="s">
        <v>1060</v>
      </c>
      <c r="C2268" s="25"/>
      <c r="D2268" s="29">
        <f>4.37+4.13+4.44+5.46+1.57+4.31+4.09+3.92+4.37+4+4.14+4.31+4.05+4.02+4.1+4.36+4.18+4.33+5.39+1.59+4.34+4.18+4.28+4.75</f>
        <v>98.68</v>
      </c>
      <c r="E2268" s="25"/>
      <c r="F2268" s="255"/>
      <c r="H2268" s="74"/>
      <c r="I2268" s="75"/>
    </row>
    <row r="2269" spans="1:9" x14ac:dyDescent="0.2">
      <c r="A2269" s="274"/>
      <c r="B2269" s="25"/>
      <c r="C2269" s="25"/>
      <c r="D2269" s="29"/>
      <c r="E2269" s="25"/>
      <c r="F2269" s="255"/>
      <c r="H2269" s="74"/>
      <c r="I2269" s="75"/>
    </row>
    <row r="2270" spans="1:9" x14ac:dyDescent="0.2">
      <c r="A2270" s="274"/>
      <c r="B2270" s="25" t="s">
        <v>750</v>
      </c>
      <c r="C2270" s="25"/>
      <c r="D2270" s="65"/>
      <c r="E2270" s="25"/>
      <c r="F2270" s="249"/>
      <c r="H2270" s="74"/>
      <c r="I2270" s="75"/>
    </row>
    <row r="2271" spans="1:9" ht="51" x14ac:dyDescent="0.2">
      <c r="A2271" s="274"/>
      <c r="B2271" s="26" t="s">
        <v>1061</v>
      </c>
      <c r="C2271" s="25"/>
      <c r="D2271" s="29">
        <f>2*(4.37+4.13+4.44+5.46+1.57+4.31+4.09+3.92+4.37+4+4.14+4.31+4.05+4.02+4.1+4.36+4.18+4.33+5.39+1.59+4.34+4.18+4.28+4.75)</f>
        <v>197.36</v>
      </c>
      <c r="E2271" s="25"/>
      <c r="F2271" s="249"/>
      <c r="H2271" s="74"/>
      <c r="I2271" s="75"/>
    </row>
    <row r="2272" spans="1:9" x14ac:dyDescent="0.2">
      <c r="A2272" s="274"/>
      <c r="B2272" s="26"/>
      <c r="C2272" s="25"/>
      <c r="D2272" s="29"/>
      <c r="E2272" s="25"/>
      <c r="F2272" s="249"/>
      <c r="H2272" s="74"/>
      <c r="I2272" s="75"/>
    </row>
    <row r="2273" spans="1:13" x14ac:dyDescent="0.2">
      <c r="A2273" s="274"/>
      <c r="B2273" s="26" t="s">
        <v>776</v>
      </c>
      <c r="C2273" s="25"/>
      <c r="D2273" s="29"/>
      <c r="E2273" s="25"/>
      <c r="F2273" s="249"/>
      <c r="H2273" s="74"/>
      <c r="I2273" s="75"/>
    </row>
    <row r="2274" spans="1:13" ht="51" x14ac:dyDescent="0.2">
      <c r="A2274" s="274"/>
      <c r="B2274" s="26" t="s">
        <v>1060</v>
      </c>
      <c r="C2274" s="25"/>
      <c r="D2274" s="29">
        <f>4.37+4.13+4.44+5.46+1.57+4.31+4.09+3.92+4.37+4+4.14+4.31+4.05+4.02+4.1+4.36+4.18+4.33+5.39+1.59+4.34+4.18+4.28+4.75</f>
        <v>98.68</v>
      </c>
      <c r="E2274" s="25"/>
      <c r="F2274" s="249"/>
      <c r="H2274" s="74"/>
      <c r="I2274" s="75"/>
    </row>
    <row r="2275" spans="1:13" x14ac:dyDescent="0.2">
      <c r="A2275" s="274"/>
      <c r="B2275" s="26"/>
      <c r="C2275" s="25"/>
      <c r="D2275" s="29"/>
      <c r="E2275" s="25"/>
      <c r="F2275" s="249"/>
      <c r="H2275" s="74"/>
      <c r="I2275" s="75"/>
    </row>
    <row r="2276" spans="1:13" x14ac:dyDescent="0.2">
      <c r="A2276" s="274"/>
      <c r="B2276" s="20" t="s">
        <v>596</v>
      </c>
      <c r="C2276" s="17" t="s">
        <v>39</v>
      </c>
      <c r="D2276" s="52">
        <f>SUM(D2262:D2275)</f>
        <v>488.18</v>
      </c>
      <c r="E2276" s="12"/>
      <c r="F2276" s="249">
        <f>+D2276*E2276</f>
        <v>0</v>
      </c>
      <c r="G2276" s="11"/>
      <c r="H2276" s="74"/>
      <c r="I2276" s="74"/>
    </row>
    <row r="2277" spans="1:13" x14ac:dyDescent="0.2">
      <c r="A2277" s="281"/>
      <c r="B2277" s="24"/>
      <c r="C2277" s="17"/>
      <c r="D2277" s="52"/>
      <c r="E2277" s="12"/>
      <c r="F2277" s="249"/>
      <c r="G2277" s="11"/>
      <c r="H2277" s="74"/>
      <c r="I2277" s="74"/>
      <c r="J2277" s="74"/>
      <c r="K2277" s="74"/>
      <c r="L2277" s="74"/>
      <c r="M2277" s="74"/>
    </row>
    <row r="2278" spans="1:13" ht="25.5" x14ac:dyDescent="0.2">
      <c r="A2278" s="257" t="s">
        <v>160</v>
      </c>
      <c r="B2278" s="166" t="s">
        <v>934</v>
      </c>
      <c r="C2278" s="62"/>
      <c r="D2278" s="29"/>
      <c r="E2278" s="23"/>
      <c r="F2278" s="255"/>
      <c r="G2278" s="8"/>
      <c r="H2278" s="74"/>
      <c r="I2278" s="74"/>
      <c r="J2278" s="74"/>
      <c r="K2278" s="74"/>
      <c r="L2278" s="74"/>
      <c r="M2278" s="74"/>
    </row>
    <row r="2279" spans="1:13" x14ac:dyDescent="0.2">
      <c r="A2279" s="281"/>
      <c r="B2279" s="16"/>
      <c r="C2279" s="62"/>
      <c r="D2279" s="29"/>
      <c r="E2279" s="23"/>
      <c r="F2279" s="255"/>
      <c r="G2279" s="11"/>
      <c r="H2279" s="74"/>
      <c r="I2279" s="74"/>
      <c r="J2279" s="74"/>
      <c r="K2279" s="74"/>
      <c r="L2279" s="74"/>
      <c r="M2279" s="74"/>
    </row>
    <row r="2280" spans="1:13" x14ac:dyDescent="0.2">
      <c r="A2280" s="281"/>
      <c r="B2280" s="25" t="s">
        <v>28</v>
      </c>
      <c r="C2280" s="25"/>
      <c r="D2280" s="65"/>
      <c r="E2280" s="25"/>
      <c r="F2280" s="249"/>
      <c r="G2280" s="11"/>
      <c r="H2280" s="74"/>
      <c r="I2280" s="74"/>
      <c r="J2280" s="74"/>
      <c r="K2280" s="74"/>
      <c r="L2280" s="74"/>
      <c r="M2280" s="74"/>
    </row>
    <row r="2281" spans="1:13" x14ac:dyDescent="0.2">
      <c r="A2281" s="397"/>
      <c r="B2281" s="354" t="s">
        <v>1062</v>
      </c>
      <c r="C2281" s="347"/>
      <c r="D2281" s="342">
        <f>59.42+20.08</f>
        <v>79.5</v>
      </c>
      <c r="E2281" s="347"/>
      <c r="F2281" s="344"/>
      <c r="G2281" s="11"/>
      <c r="H2281" s="74"/>
      <c r="I2281" s="74"/>
      <c r="J2281" s="74"/>
      <c r="K2281" s="74"/>
      <c r="L2281" s="74"/>
      <c r="M2281" s="74"/>
    </row>
    <row r="2282" spans="1:13" x14ac:dyDescent="0.2">
      <c r="A2282" s="281"/>
      <c r="B2282" s="25"/>
      <c r="C2282" s="25"/>
      <c r="D2282" s="65"/>
      <c r="E2282" s="25"/>
      <c r="F2282" s="255"/>
      <c r="G2282" s="11"/>
      <c r="H2282" s="74"/>
      <c r="I2282" s="74"/>
      <c r="J2282" s="74"/>
      <c r="K2282" s="74"/>
      <c r="L2282" s="74"/>
      <c r="M2282" s="74"/>
    </row>
    <row r="2283" spans="1:13" x14ac:dyDescent="0.2">
      <c r="A2283" s="281"/>
      <c r="B2283" s="25" t="s">
        <v>746</v>
      </c>
      <c r="C2283" s="25"/>
      <c r="D2283" s="65"/>
      <c r="E2283" s="25"/>
      <c r="F2283" s="255"/>
      <c r="G2283" s="11"/>
      <c r="H2283" s="74"/>
      <c r="I2283" s="74"/>
      <c r="J2283" s="74"/>
      <c r="K2283" s="74"/>
      <c r="L2283" s="74"/>
      <c r="M2283" s="74"/>
    </row>
    <row r="2284" spans="1:13" x14ac:dyDescent="0.2">
      <c r="A2284" s="281"/>
      <c r="B2284" s="26" t="s">
        <v>1063</v>
      </c>
      <c r="C2284" s="25"/>
      <c r="D2284" s="29">
        <f>59.65+2.84*1.22</f>
        <v>63.114799999999995</v>
      </c>
      <c r="E2284" s="25"/>
      <c r="F2284" s="255"/>
      <c r="G2284" s="11"/>
      <c r="H2284" s="74"/>
      <c r="I2284" s="74"/>
      <c r="J2284" s="74"/>
      <c r="K2284" s="74"/>
      <c r="L2284" s="74"/>
      <c r="M2284" s="74"/>
    </row>
    <row r="2285" spans="1:13" x14ac:dyDescent="0.2">
      <c r="A2285" s="281"/>
      <c r="B2285" s="25"/>
      <c r="C2285" s="25"/>
      <c r="D2285" s="29"/>
      <c r="E2285" s="25"/>
      <c r="F2285" s="255"/>
      <c r="G2285" s="11"/>
      <c r="H2285" s="74"/>
      <c r="I2285" s="74"/>
      <c r="J2285" s="74"/>
      <c r="K2285" s="74"/>
      <c r="L2285" s="74"/>
      <c r="M2285" s="74"/>
    </row>
    <row r="2286" spans="1:13" x14ac:dyDescent="0.2">
      <c r="A2286" s="281"/>
      <c r="B2286" s="25" t="s">
        <v>750</v>
      </c>
      <c r="C2286" s="25"/>
      <c r="D2286" s="65"/>
      <c r="E2286" s="25"/>
      <c r="F2286" s="249"/>
      <c r="G2286" s="11"/>
      <c r="H2286" s="74"/>
      <c r="I2286" s="74"/>
      <c r="J2286" s="74"/>
      <c r="K2286" s="74"/>
      <c r="L2286" s="74"/>
      <c r="M2286" s="74"/>
    </row>
    <row r="2287" spans="1:13" x14ac:dyDescent="0.2">
      <c r="A2287" s="281"/>
      <c r="B2287" s="26" t="s">
        <v>1064</v>
      </c>
      <c r="C2287" s="25"/>
      <c r="D2287" s="29">
        <f>2*(59.65+2.84*1.22)</f>
        <v>126.22959999999999</v>
      </c>
      <c r="E2287" s="25"/>
      <c r="F2287" s="249"/>
      <c r="G2287" s="11"/>
      <c r="H2287" s="74"/>
      <c r="I2287" s="74"/>
      <c r="J2287" s="74"/>
      <c r="K2287" s="74"/>
      <c r="L2287" s="74"/>
      <c r="M2287" s="74"/>
    </row>
    <row r="2288" spans="1:13" x14ac:dyDescent="0.2">
      <c r="A2288" s="281"/>
      <c r="B2288" s="25"/>
      <c r="C2288" s="25"/>
      <c r="D2288" s="65"/>
      <c r="E2288" s="25"/>
      <c r="F2288" s="249"/>
      <c r="G2288" s="11"/>
      <c r="H2288" s="74"/>
      <c r="I2288" s="74"/>
      <c r="J2288" s="74"/>
      <c r="K2288" s="74"/>
      <c r="L2288" s="74"/>
      <c r="M2288" s="74"/>
    </row>
    <row r="2289" spans="1:13" x14ac:dyDescent="0.2">
      <c r="A2289" s="281"/>
      <c r="B2289" s="25" t="s">
        <v>776</v>
      </c>
      <c r="C2289" s="25"/>
      <c r="D2289" s="65"/>
      <c r="E2289" s="25"/>
      <c r="F2289" s="249"/>
      <c r="G2289" s="11"/>
      <c r="H2289" s="74"/>
      <c r="I2289" s="74"/>
      <c r="J2289" s="74"/>
      <c r="K2289" s="74"/>
      <c r="L2289" s="74"/>
      <c r="M2289" s="74"/>
    </row>
    <row r="2290" spans="1:13" x14ac:dyDescent="0.2">
      <c r="A2290" s="281"/>
      <c r="B2290" s="83" t="s">
        <v>1065</v>
      </c>
      <c r="C2290" s="25"/>
      <c r="D2290" s="29">
        <f>59.71+2.84*1.22</f>
        <v>63.174799999999998</v>
      </c>
      <c r="E2290" s="25"/>
      <c r="F2290" s="249"/>
      <c r="G2290" s="11"/>
      <c r="H2290" s="74"/>
      <c r="I2290" s="74"/>
      <c r="J2290" s="74"/>
      <c r="K2290" s="74"/>
      <c r="L2290" s="74"/>
      <c r="M2290" s="74"/>
    </row>
    <row r="2291" spans="1:13" x14ac:dyDescent="0.2">
      <c r="A2291" s="281"/>
      <c r="B2291" s="26"/>
      <c r="C2291" s="25"/>
      <c r="D2291" s="29"/>
      <c r="E2291" s="25"/>
      <c r="F2291" s="249"/>
      <c r="G2291" s="11"/>
      <c r="H2291" s="74"/>
      <c r="I2291" s="74"/>
      <c r="J2291" s="74"/>
      <c r="K2291" s="74"/>
      <c r="L2291" s="74"/>
      <c r="M2291" s="74"/>
    </row>
    <row r="2292" spans="1:13" x14ac:dyDescent="0.2">
      <c r="A2292" s="281"/>
      <c r="B2292" s="20" t="s">
        <v>597</v>
      </c>
      <c r="C2292" s="17" t="s">
        <v>39</v>
      </c>
      <c r="D2292" s="52">
        <f>SUM(D2278:D2291)</f>
        <v>332.01920000000001</v>
      </c>
      <c r="E2292" s="12"/>
      <c r="F2292" s="249">
        <f>+D2292*E2292</f>
        <v>0</v>
      </c>
      <c r="G2292" s="11"/>
      <c r="H2292" s="74"/>
      <c r="I2292" s="74"/>
      <c r="J2292" s="74"/>
      <c r="K2292" s="74"/>
      <c r="L2292" s="74"/>
      <c r="M2292" s="74"/>
    </row>
    <row r="2293" spans="1:13" x14ac:dyDescent="0.2">
      <c r="A2293" s="281"/>
      <c r="B2293" s="24"/>
      <c r="C2293" s="17"/>
      <c r="D2293" s="52"/>
      <c r="E2293" s="12"/>
      <c r="F2293" s="249"/>
      <c r="G2293" s="11"/>
      <c r="H2293" s="74"/>
      <c r="I2293" s="74"/>
      <c r="J2293" s="74"/>
      <c r="K2293" s="74"/>
      <c r="L2293" s="74"/>
      <c r="M2293" s="74"/>
    </row>
    <row r="2294" spans="1:13" ht="25.5" x14ac:dyDescent="0.2">
      <c r="A2294" s="257" t="s">
        <v>598</v>
      </c>
      <c r="B2294" s="166" t="s">
        <v>1066</v>
      </c>
      <c r="C2294" s="62"/>
      <c r="D2294" s="29"/>
      <c r="E2294" s="23"/>
      <c r="F2294" s="255"/>
      <c r="G2294" s="11"/>
      <c r="H2294" s="74"/>
      <c r="I2294" s="74"/>
      <c r="J2294" s="74"/>
      <c r="K2294" s="74"/>
      <c r="L2294" s="74"/>
      <c r="M2294" s="74"/>
    </row>
    <row r="2295" spans="1:13" x14ac:dyDescent="0.2">
      <c r="A2295" s="281"/>
      <c r="B2295" s="16"/>
      <c r="C2295" s="62"/>
      <c r="D2295" s="29"/>
      <c r="E2295" s="23"/>
      <c r="F2295" s="255"/>
      <c r="G2295" s="11"/>
      <c r="H2295" s="74"/>
      <c r="I2295" s="74"/>
      <c r="J2295" s="74"/>
      <c r="K2295" s="74"/>
      <c r="L2295" s="74"/>
      <c r="M2295" s="74"/>
    </row>
    <row r="2296" spans="1:13" x14ac:dyDescent="0.2">
      <c r="A2296" s="281"/>
      <c r="B2296" s="25" t="s">
        <v>28</v>
      </c>
      <c r="C2296" s="25"/>
      <c r="D2296" s="65"/>
      <c r="E2296" s="25"/>
      <c r="F2296" s="249"/>
      <c r="G2296" s="11"/>
      <c r="H2296" s="74"/>
      <c r="I2296" s="74"/>
      <c r="J2296" s="74"/>
      <c r="K2296" s="74"/>
      <c r="L2296" s="74"/>
      <c r="M2296" s="74"/>
    </row>
    <row r="2297" spans="1:13" ht="25.5" x14ac:dyDescent="0.2">
      <c r="A2297" s="281"/>
      <c r="B2297" s="26" t="s">
        <v>784</v>
      </c>
      <c r="C2297" s="25"/>
      <c r="D2297" s="29">
        <f>3.78+3.78+4+2.09+4.72+4+2.28+2.36+4.98+3.78</f>
        <v>35.769999999999996</v>
      </c>
      <c r="E2297" s="25"/>
      <c r="F2297" s="249"/>
      <c r="G2297" s="11"/>
      <c r="H2297" s="74"/>
      <c r="I2297" s="74"/>
      <c r="J2297" s="74"/>
      <c r="K2297" s="74"/>
      <c r="L2297" s="74"/>
      <c r="M2297" s="74"/>
    </row>
    <row r="2298" spans="1:13" x14ac:dyDescent="0.2">
      <c r="A2298" s="281"/>
      <c r="B2298" s="25"/>
      <c r="C2298" s="25"/>
      <c r="D2298" s="65"/>
      <c r="E2298" s="25"/>
      <c r="F2298" s="255"/>
      <c r="G2298" s="11"/>
      <c r="H2298" s="74"/>
      <c r="I2298" s="74"/>
      <c r="J2298" s="74"/>
      <c r="K2298" s="74"/>
      <c r="L2298" s="74"/>
      <c r="M2298" s="74"/>
    </row>
    <row r="2299" spans="1:13" x14ac:dyDescent="0.2">
      <c r="A2299" s="281"/>
      <c r="B2299" s="25" t="s">
        <v>746</v>
      </c>
      <c r="C2299" s="25"/>
      <c r="D2299" s="65"/>
      <c r="E2299" s="25"/>
      <c r="F2299" s="255"/>
      <c r="G2299" s="11"/>
      <c r="H2299" s="74"/>
      <c r="I2299" s="74"/>
      <c r="J2299" s="74"/>
      <c r="K2299" s="74"/>
      <c r="L2299" s="74"/>
      <c r="M2299" s="74"/>
    </row>
    <row r="2300" spans="1:13" ht="25.5" x14ac:dyDescent="0.2">
      <c r="A2300" s="281"/>
      <c r="B2300" s="26" t="s">
        <v>1067</v>
      </c>
      <c r="C2300" s="25"/>
      <c r="D2300" s="29">
        <f>2.36+4.98+3.78+3.78+3.78+3.79+4+4+4.72+1.93+2.28</f>
        <v>39.4</v>
      </c>
      <c r="E2300" s="25"/>
      <c r="F2300" s="255"/>
      <c r="G2300" s="11"/>
      <c r="H2300" s="74"/>
      <c r="I2300" s="74"/>
      <c r="J2300" s="74"/>
      <c r="K2300" s="74"/>
      <c r="L2300" s="74"/>
      <c r="M2300" s="74"/>
    </row>
    <row r="2301" spans="1:13" x14ac:dyDescent="0.2">
      <c r="A2301" s="281"/>
      <c r="B2301" s="25"/>
      <c r="C2301" s="25"/>
      <c r="D2301" s="29"/>
      <c r="E2301" s="25"/>
      <c r="F2301" s="255"/>
      <c r="G2301" s="11"/>
      <c r="H2301" s="74"/>
      <c r="I2301" s="74"/>
      <c r="J2301" s="74"/>
      <c r="K2301" s="74"/>
      <c r="L2301" s="74"/>
      <c r="M2301" s="74"/>
    </row>
    <row r="2302" spans="1:13" x14ac:dyDescent="0.2">
      <c r="A2302" s="281"/>
      <c r="B2302" s="25" t="s">
        <v>750</v>
      </c>
      <c r="C2302" s="25"/>
      <c r="D2302" s="65"/>
      <c r="E2302" s="25"/>
      <c r="F2302" s="249"/>
      <c r="G2302" s="11"/>
      <c r="H2302" s="74"/>
      <c r="I2302" s="74"/>
      <c r="J2302" s="74"/>
      <c r="K2302" s="74"/>
      <c r="L2302" s="74"/>
      <c r="M2302" s="74"/>
    </row>
    <row r="2303" spans="1:13" ht="25.5" x14ac:dyDescent="0.2">
      <c r="A2303" s="281"/>
      <c r="B2303" s="26" t="s">
        <v>1068</v>
      </c>
      <c r="C2303" s="25"/>
      <c r="D2303" s="29">
        <f>2*(2.36+4.98+3.78+3.78+3.78+3.78+4+4+4.59+1.93+2.28)</f>
        <v>78.52</v>
      </c>
      <c r="E2303" s="25"/>
      <c r="F2303" s="249"/>
      <c r="G2303" s="11"/>
      <c r="H2303" s="74"/>
      <c r="I2303" s="74"/>
      <c r="J2303" s="74"/>
      <c r="K2303" s="74"/>
      <c r="L2303" s="74"/>
      <c r="M2303" s="74"/>
    </row>
    <row r="2304" spans="1:13" x14ac:dyDescent="0.2">
      <c r="A2304" s="281"/>
      <c r="B2304" s="26"/>
      <c r="C2304" s="25"/>
      <c r="D2304" s="29"/>
      <c r="E2304" s="25"/>
      <c r="F2304" s="249"/>
      <c r="G2304" s="11"/>
      <c r="H2304" s="74"/>
      <c r="I2304" s="74"/>
      <c r="J2304" s="74"/>
      <c r="K2304" s="74"/>
      <c r="L2304" s="74"/>
      <c r="M2304" s="74"/>
    </row>
    <row r="2305" spans="1:13" x14ac:dyDescent="0.2">
      <c r="A2305" s="281"/>
      <c r="B2305" s="25" t="s">
        <v>776</v>
      </c>
      <c r="C2305" s="25"/>
      <c r="D2305" s="29"/>
      <c r="E2305" s="25"/>
      <c r="F2305" s="249"/>
      <c r="G2305" s="11"/>
      <c r="H2305" s="74"/>
      <c r="I2305" s="74"/>
      <c r="J2305" s="74"/>
      <c r="K2305" s="74"/>
      <c r="L2305" s="74"/>
      <c r="M2305" s="74"/>
    </row>
    <row r="2306" spans="1:13" ht="25.5" x14ac:dyDescent="0.2">
      <c r="A2306" s="281"/>
      <c r="B2306" s="26" t="s">
        <v>840</v>
      </c>
      <c r="C2306" s="25"/>
      <c r="D2306" s="29">
        <f>2.25+4.45+3.78+3.78+3.78+3.78+4+4+4.57+1.8+2.06</f>
        <v>38.25</v>
      </c>
      <c r="E2306" s="25"/>
      <c r="F2306" s="249"/>
      <c r="G2306" s="11"/>
      <c r="H2306" s="74"/>
      <c r="I2306" s="74"/>
      <c r="J2306" s="74"/>
      <c r="K2306" s="74"/>
      <c r="L2306" s="74"/>
      <c r="M2306" s="74"/>
    </row>
    <row r="2307" spans="1:13" x14ac:dyDescent="0.2">
      <c r="A2307" s="281"/>
      <c r="B2307" s="26"/>
      <c r="C2307" s="25"/>
      <c r="D2307" s="29"/>
      <c r="E2307" s="25"/>
      <c r="F2307" s="249"/>
      <c r="G2307" s="11"/>
      <c r="H2307" s="74"/>
      <c r="I2307" s="74"/>
      <c r="J2307" s="74"/>
      <c r="K2307" s="74"/>
      <c r="L2307" s="74"/>
      <c r="M2307" s="74"/>
    </row>
    <row r="2308" spans="1:13" x14ac:dyDescent="0.2">
      <c r="A2308" s="281"/>
      <c r="B2308" s="20" t="s">
        <v>599</v>
      </c>
      <c r="C2308" s="17" t="s">
        <v>39</v>
      </c>
      <c r="D2308" s="52">
        <f>SUM(D2294:D2307)</f>
        <v>191.94</v>
      </c>
      <c r="E2308" s="12"/>
      <c r="F2308" s="249">
        <f>+D2308*E2308</f>
        <v>0</v>
      </c>
      <c r="G2308" s="11"/>
      <c r="H2308" s="74"/>
      <c r="I2308" s="74"/>
      <c r="J2308" s="74"/>
      <c r="K2308" s="74"/>
      <c r="L2308" s="74"/>
      <c r="M2308" s="74"/>
    </row>
    <row r="2309" spans="1:13" x14ac:dyDescent="0.2">
      <c r="A2309" s="281"/>
      <c r="B2309" s="24"/>
      <c r="C2309" s="17"/>
      <c r="D2309" s="52"/>
      <c r="E2309" s="12"/>
      <c r="F2309" s="249"/>
      <c r="G2309" s="11"/>
      <c r="H2309" s="74"/>
      <c r="I2309" s="74"/>
      <c r="J2309" s="74"/>
      <c r="K2309" s="74"/>
      <c r="L2309" s="74"/>
      <c r="M2309" s="74"/>
    </row>
    <row r="2310" spans="1:13" ht="25.5" x14ac:dyDescent="0.2">
      <c r="A2310" s="285" t="s">
        <v>658</v>
      </c>
      <c r="B2310" s="166" t="s">
        <v>1158</v>
      </c>
      <c r="C2310" s="17"/>
      <c r="D2310" s="52"/>
      <c r="E2310" s="12"/>
      <c r="F2310" s="249"/>
      <c r="G2310" s="11"/>
      <c r="H2310" s="74"/>
      <c r="I2310" s="74"/>
      <c r="J2310" s="74"/>
      <c r="K2310" s="74"/>
      <c r="L2310" s="74"/>
      <c r="M2310" s="74"/>
    </row>
    <row r="2311" spans="1:13" x14ac:dyDescent="0.2">
      <c r="A2311" s="281"/>
      <c r="B2311" s="24" t="s">
        <v>1133</v>
      </c>
      <c r="C2311" s="17" t="s">
        <v>39</v>
      </c>
      <c r="D2311" s="52">
        <f>2.1*1.1</f>
        <v>2.3100000000000005</v>
      </c>
      <c r="E2311" s="12"/>
      <c r="F2311" s="249">
        <f>E2311*D2311</f>
        <v>0</v>
      </c>
      <c r="G2311" s="11"/>
      <c r="H2311" s="74"/>
      <c r="I2311" s="74"/>
      <c r="J2311" s="74"/>
      <c r="K2311" s="74"/>
      <c r="L2311" s="74"/>
      <c r="M2311" s="74"/>
    </row>
    <row r="2312" spans="1:13" x14ac:dyDescent="0.2">
      <c r="A2312" s="281"/>
      <c r="B2312" s="24"/>
      <c r="C2312" s="17"/>
      <c r="D2312" s="52"/>
      <c r="E2312" s="12"/>
      <c r="F2312" s="249"/>
      <c r="G2312" s="11"/>
      <c r="H2312" s="74"/>
      <c r="I2312" s="74"/>
      <c r="J2312" s="74"/>
      <c r="K2312" s="74"/>
      <c r="L2312" s="74"/>
      <c r="M2312" s="74"/>
    </row>
    <row r="2313" spans="1:13" ht="38.25" x14ac:dyDescent="0.2">
      <c r="A2313" s="259" t="s">
        <v>158</v>
      </c>
      <c r="B2313" s="33" t="s">
        <v>611</v>
      </c>
      <c r="C2313" s="17"/>
      <c r="D2313" s="312"/>
      <c r="E2313" s="20"/>
      <c r="F2313" s="255"/>
      <c r="G2313" s="10"/>
    </row>
    <row r="2314" spans="1:13" ht="76.5" x14ac:dyDescent="0.2">
      <c r="A2314" s="274"/>
      <c r="B2314" s="33" t="s">
        <v>612</v>
      </c>
      <c r="C2314" s="17"/>
      <c r="D2314" s="312"/>
      <c r="E2314" s="20"/>
      <c r="F2314" s="255"/>
      <c r="G2314" s="10"/>
    </row>
    <row r="2315" spans="1:13" s="74" customFormat="1" x14ac:dyDescent="0.2">
      <c r="A2315" s="274"/>
      <c r="B2315" s="16" t="s">
        <v>97</v>
      </c>
      <c r="C2315" s="17"/>
      <c r="D2315" s="312"/>
      <c r="E2315" s="20"/>
      <c r="F2315" s="255"/>
      <c r="G2315" s="10"/>
      <c r="H2315" s="210"/>
    </row>
    <row r="2316" spans="1:13" s="74" customFormat="1" x14ac:dyDescent="0.2">
      <c r="A2316" s="274"/>
      <c r="B2316" s="16"/>
      <c r="C2316" s="17"/>
      <c r="D2316" s="312"/>
      <c r="E2316" s="20"/>
      <c r="F2316" s="255"/>
      <c r="G2316" s="10"/>
      <c r="H2316" s="211"/>
    </row>
    <row r="2317" spans="1:13" ht="25.5" x14ac:dyDescent="0.2">
      <c r="A2317" s="375" t="s">
        <v>301</v>
      </c>
      <c r="B2317" s="408" t="s">
        <v>562</v>
      </c>
      <c r="C2317" s="363"/>
      <c r="D2317" s="403"/>
      <c r="E2317" s="352"/>
      <c r="F2317" s="373"/>
      <c r="G2317" s="10"/>
    </row>
    <row r="2318" spans="1:13" x14ac:dyDescent="0.2">
      <c r="A2318" s="274"/>
      <c r="B2318" s="40"/>
      <c r="C2318" s="17"/>
      <c r="D2318" s="312"/>
      <c r="E2318" s="20"/>
      <c r="F2318" s="255"/>
      <c r="G2318" s="10"/>
    </row>
    <row r="2319" spans="1:13" x14ac:dyDescent="0.2">
      <c r="A2319" s="274"/>
      <c r="B2319" s="25" t="s">
        <v>28</v>
      </c>
      <c r="C2319" s="25"/>
      <c r="D2319" s="65"/>
      <c r="E2319" s="20"/>
      <c r="F2319" s="255"/>
      <c r="G2319" s="10"/>
    </row>
    <row r="2320" spans="1:13" ht="25.5" x14ac:dyDescent="0.2">
      <c r="A2320" s="274"/>
      <c r="B2320" s="26" t="s">
        <v>1069</v>
      </c>
      <c r="C2320" s="25"/>
      <c r="D2320" s="29">
        <f>8.52+8.39+8.38+8.54+10+8.54+8.79+8.6+10.25+8.47</f>
        <v>88.47999999999999</v>
      </c>
      <c r="E2320" s="20"/>
      <c r="F2320" s="255"/>
      <c r="G2320" s="10"/>
    </row>
    <row r="2321" spans="1:13" x14ac:dyDescent="0.2">
      <c r="A2321" s="274"/>
      <c r="B2321" s="25"/>
      <c r="C2321" s="25"/>
      <c r="D2321" s="65"/>
      <c r="E2321" s="20"/>
      <c r="F2321" s="255"/>
      <c r="G2321" s="10"/>
    </row>
    <row r="2322" spans="1:13" x14ac:dyDescent="0.2">
      <c r="A2322" s="274"/>
      <c r="B2322" s="25" t="s">
        <v>746</v>
      </c>
      <c r="C2322" s="25"/>
      <c r="D2322" s="65"/>
      <c r="E2322" s="20"/>
      <c r="F2322" s="255"/>
      <c r="G2322" s="10"/>
    </row>
    <row r="2323" spans="1:13" ht="25.5" x14ac:dyDescent="0.2">
      <c r="A2323" s="274"/>
      <c r="B2323" s="26" t="s">
        <v>1070</v>
      </c>
      <c r="C2323" s="25"/>
      <c r="D2323" s="29">
        <f>8.49+10.25+8.47+8.8+8.52+8.39+8.59+8.54+10+8.54+9.12</f>
        <v>97.710000000000008</v>
      </c>
      <c r="E2323" s="20"/>
      <c r="F2323" s="255"/>
      <c r="G2323" s="10"/>
    </row>
    <row r="2324" spans="1:13" x14ac:dyDescent="0.2">
      <c r="A2324" s="274"/>
      <c r="B2324" s="25"/>
      <c r="C2324" s="25"/>
      <c r="D2324" s="65"/>
      <c r="E2324" s="20"/>
      <c r="F2324" s="255"/>
      <c r="G2324" s="10"/>
    </row>
    <row r="2325" spans="1:13" x14ac:dyDescent="0.2">
      <c r="A2325" s="274"/>
      <c r="B2325" s="25" t="s">
        <v>750</v>
      </c>
      <c r="C2325" s="25"/>
      <c r="D2325" s="29"/>
      <c r="E2325" s="20"/>
      <c r="F2325" s="255"/>
      <c r="G2325" s="10"/>
    </row>
    <row r="2326" spans="1:13" ht="25.5" x14ac:dyDescent="0.2">
      <c r="A2326" s="274"/>
      <c r="B2326" s="26" t="s">
        <v>1071</v>
      </c>
      <c r="C2326" s="25"/>
      <c r="D2326" s="29">
        <f>2*(8.49+10.25+8.47+8.8+8.52+8.39+8.59+8.54+10+8.54+9.12)</f>
        <v>195.42000000000002</v>
      </c>
      <c r="E2326" s="20"/>
      <c r="F2326" s="255"/>
      <c r="G2326" s="10"/>
    </row>
    <row r="2327" spans="1:13" x14ac:dyDescent="0.2">
      <c r="A2327" s="274"/>
      <c r="B2327" s="25"/>
      <c r="C2327" s="25"/>
      <c r="D2327" s="29"/>
      <c r="E2327" s="20"/>
      <c r="F2327" s="255"/>
      <c r="G2327" s="10"/>
    </row>
    <row r="2328" spans="1:13" x14ac:dyDescent="0.2">
      <c r="A2328" s="274"/>
      <c r="B2328" s="25" t="s">
        <v>776</v>
      </c>
      <c r="C2328" s="25"/>
      <c r="D2328" s="65"/>
      <c r="E2328" s="20"/>
      <c r="F2328" s="255"/>
      <c r="G2328" s="10"/>
    </row>
    <row r="2329" spans="1:13" s="74" customFormat="1" ht="25.5" x14ac:dyDescent="0.2">
      <c r="A2329" s="274"/>
      <c r="B2329" s="26" t="s">
        <v>1070</v>
      </c>
      <c r="C2329" s="25"/>
      <c r="D2329" s="29">
        <f>8.49+10.25+8.47+8.8+8.52+8.39+8.59+8.54+10+8.54+9.12</f>
        <v>97.710000000000008</v>
      </c>
      <c r="E2329" s="20"/>
      <c r="F2329" s="255"/>
      <c r="G2329" s="10"/>
      <c r="H2329" s="8"/>
      <c r="I2329" s="8"/>
      <c r="J2329" s="8"/>
      <c r="K2329" s="8"/>
      <c r="L2329" s="8"/>
      <c r="M2329" s="8"/>
    </row>
    <row r="2330" spans="1:13" s="74" customFormat="1" x14ac:dyDescent="0.2">
      <c r="A2330" s="274"/>
      <c r="B2330" s="26"/>
      <c r="C2330" s="25"/>
      <c r="D2330" s="29"/>
      <c r="E2330" s="20"/>
      <c r="F2330" s="255"/>
      <c r="G2330" s="10"/>
      <c r="H2330" s="8"/>
      <c r="I2330" s="8"/>
      <c r="J2330" s="8"/>
      <c r="K2330" s="8"/>
      <c r="L2330" s="8"/>
      <c r="M2330" s="8"/>
    </row>
    <row r="2331" spans="1:13" x14ac:dyDescent="0.2">
      <c r="A2331" s="274"/>
      <c r="B2331" s="40" t="s">
        <v>304</v>
      </c>
      <c r="C2331" s="17" t="s">
        <v>40</v>
      </c>
      <c r="D2331" s="312">
        <f>SUM(D2319:D2329)</f>
        <v>479.32000000000005</v>
      </c>
      <c r="E2331" s="12"/>
      <c r="F2331" s="255">
        <f>E2331*D2331</f>
        <v>0</v>
      </c>
      <c r="G2331" s="10"/>
    </row>
    <row r="2332" spans="1:13" x14ac:dyDescent="0.2">
      <c r="A2332" s="274"/>
      <c r="B2332" s="40"/>
      <c r="C2332" s="17"/>
      <c r="D2332" s="312"/>
      <c r="E2332" s="20"/>
      <c r="F2332" s="255"/>
      <c r="G2332" s="10"/>
    </row>
    <row r="2333" spans="1:13" ht="12.75" customHeight="1" x14ac:dyDescent="0.2">
      <c r="A2333" s="257" t="s">
        <v>302</v>
      </c>
      <c r="B2333" s="167" t="s">
        <v>1075</v>
      </c>
      <c r="C2333" s="17"/>
      <c r="D2333" s="52"/>
      <c r="E2333" s="20"/>
      <c r="F2333" s="255"/>
      <c r="G2333" s="10"/>
    </row>
    <row r="2334" spans="1:13" x14ac:dyDescent="0.2">
      <c r="A2334" s="257"/>
      <c r="B2334" s="167"/>
      <c r="C2334" s="17"/>
      <c r="D2334" s="52"/>
      <c r="E2334" s="20"/>
      <c r="F2334" s="255"/>
      <c r="G2334" s="10"/>
    </row>
    <row r="2335" spans="1:13" x14ac:dyDescent="0.2">
      <c r="A2335" s="257"/>
      <c r="B2335" s="167" t="s">
        <v>1076</v>
      </c>
      <c r="C2335" s="17"/>
      <c r="D2335" s="52"/>
      <c r="E2335" s="20"/>
      <c r="F2335" s="255"/>
      <c r="G2335" s="10"/>
    </row>
    <row r="2336" spans="1:13" x14ac:dyDescent="0.2">
      <c r="A2336" s="274"/>
      <c r="B2336" s="25" t="s">
        <v>28</v>
      </c>
      <c r="C2336" s="25"/>
      <c r="D2336" s="65"/>
      <c r="E2336" s="20"/>
      <c r="F2336" s="255"/>
      <c r="G2336" s="10"/>
    </row>
    <row r="2337" spans="1:7" x14ac:dyDescent="0.2">
      <c r="A2337" s="274"/>
      <c r="B2337" s="60" t="s">
        <v>1073</v>
      </c>
      <c r="C2337" s="25"/>
      <c r="D2337" s="29">
        <f>80.11+6.75*2+2.84+1.22*2</f>
        <v>98.89</v>
      </c>
      <c r="E2337" s="20"/>
      <c r="F2337" s="255"/>
      <c r="G2337" s="10"/>
    </row>
    <row r="2338" spans="1:7" x14ac:dyDescent="0.2">
      <c r="A2338" s="274"/>
      <c r="B2338" s="25" t="s">
        <v>746</v>
      </c>
      <c r="C2338" s="25"/>
      <c r="D2338" s="65"/>
      <c r="E2338" s="20"/>
      <c r="F2338" s="255"/>
      <c r="G2338" s="10"/>
    </row>
    <row r="2339" spans="1:7" x14ac:dyDescent="0.2">
      <c r="A2339" s="274"/>
      <c r="B2339" s="26" t="s">
        <v>1072</v>
      </c>
      <c r="C2339" s="25"/>
      <c r="D2339" s="29">
        <f>82.32+2.84+1.22*2</f>
        <v>87.6</v>
      </c>
      <c r="E2339" s="20"/>
      <c r="F2339" s="255"/>
      <c r="G2339" s="10"/>
    </row>
    <row r="2340" spans="1:7" x14ac:dyDescent="0.2">
      <c r="A2340" s="274"/>
      <c r="B2340" s="25" t="s">
        <v>750</v>
      </c>
      <c r="C2340" s="25"/>
      <c r="D2340" s="65"/>
      <c r="E2340" s="20"/>
      <c r="F2340" s="255"/>
      <c r="G2340" s="10"/>
    </row>
    <row r="2341" spans="1:7" x14ac:dyDescent="0.2">
      <c r="A2341" s="274"/>
      <c r="B2341" s="26" t="s">
        <v>1074</v>
      </c>
      <c r="C2341" s="25"/>
      <c r="D2341" s="29">
        <f>2*(82.32+1.22*2+2.84)</f>
        <v>175.2</v>
      </c>
      <c r="E2341" s="20"/>
      <c r="F2341" s="255"/>
      <c r="G2341" s="10"/>
    </row>
    <row r="2342" spans="1:7" x14ac:dyDescent="0.2">
      <c r="A2342" s="274"/>
      <c r="B2342" s="25" t="s">
        <v>776</v>
      </c>
      <c r="C2342" s="25"/>
      <c r="D2342" s="29"/>
      <c r="E2342" s="20"/>
      <c r="F2342" s="255"/>
      <c r="G2342" s="10"/>
    </row>
    <row r="2343" spans="1:7" x14ac:dyDescent="0.2">
      <c r="A2343" s="274"/>
      <c r="B2343" s="26" t="s">
        <v>1072</v>
      </c>
      <c r="C2343" s="25"/>
      <c r="D2343" s="29">
        <f>82.32+2.84+1.22*2</f>
        <v>87.6</v>
      </c>
      <c r="E2343" s="20"/>
      <c r="F2343" s="255"/>
      <c r="G2343" s="10"/>
    </row>
    <row r="2344" spans="1:7" x14ac:dyDescent="0.2">
      <c r="A2344" s="274"/>
      <c r="B2344" s="96"/>
      <c r="C2344" s="17"/>
      <c r="D2344" s="52"/>
      <c r="E2344" s="20"/>
      <c r="F2344" s="255"/>
      <c r="G2344" s="10"/>
    </row>
    <row r="2345" spans="1:7" x14ac:dyDescent="0.2">
      <c r="A2345" s="274"/>
      <c r="B2345" s="167" t="s">
        <v>1077</v>
      </c>
      <c r="C2345" s="17"/>
      <c r="D2345" s="52"/>
      <c r="E2345" s="20"/>
      <c r="F2345" s="255"/>
      <c r="G2345" s="10"/>
    </row>
    <row r="2346" spans="1:7" x14ac:dyDescent="0.2">
      <c r="A2346" s="274"/>
      <c r="B2346" s="25" t="s">
        <v>28</v>
      </c>
      <c r="C2346" s="17"/>
      <c r="D2346" s="52"/>
      <c r="E2346" s="20"/>
      <c r="F2346" s="255"/>
      <c r="G2346" s="10"/>
    </row>
    <row r="2347" spans="1:7" x14ac:dyDescent="0.2">
      <c r="A2347" s="274"/>
      <c r="B2347" s="26" t="s">
        <v>1079</v>
      </c>
      <c r="C2347" s="17"/>
      <c r="D2347" s="29">
        <f>2.7*5+1.3*4+0.7*3+1.9+2.73*2</f>
        <v>28.159999999999997</v>
      </c>
      <c r="E2347" s="20"/>
      <c r="F2347" s="255"/>
      <c r="G2347" s="10"/>
    </row>
    <row r="2348" spans="1:7" x14ac:dyDescent="0.2">
      <c r="A2348" s="274"/>
      <c r="B2348" s="25" t="s">
        <v>746</v>
      </c>
      <c r="C2348" s="17"/>
      <c r="D2348" s="52"/>
      <c r="E2348" s="20"/>
      <c r="F2348" s="255"/>
      <c r="G2348" s="10"/>
    </row>
    <row r="2349" spans="1:7" x14ac:dyDescent="0.2">
      <c r="A2349" s="274"/>
      <c r="B2349" s="26" t="s">
        <v>1080</v>
      </c>
      <c r="C2349" s="17"/>
      <c r="D2349" s="29">
        <f>2.7*5+1.3*4+0.7*3+1.9+2.73*3</f>
        <v>30.889999999999993</v>
      </c>
      <c r="E2349" s="20"/>
      <c r="F2349" s="255"/>
      <c r="G2349" s="10"/>
    </row>
    <row r="2350" spans="1:7" x14ac:dyDescent="0.2">
      <c r="A2350" s="274"/>
      <c r="B2350" s="25" t="s">
        <v>750</v>
      </c>
      <c r="C2350" s="17"/>
      <c r="D2350" s="52"/>
      <c r="E2350" s="20"/>
      <c r="F2350" s="255"/>
      <c r="G2350" s="10"/>
    </row>
    <row r="2351" spans="1:7" x14ac:dyDescent="0.2">
      <c r="A2351" s="274"/>
      <c r="B2351" s="26" t="s">
        <v>1081</v>
      </c>
      <c r="C2351" s="17"/>
      <c r="D2351" s="29">
        <f>2*(2.7*5+1.3*4+0.7*3+1.9+2.73*3)</f>
        <v>61.779999999999987</v>
      </c>
      <c r="E2351" s="20"/>
      <c r="F2351" s="255"/>
      <c r="G2351" s="10"/>
    </row>
    <row r="2352" spans="1:7" x14ac:dyDescent="0.2">
      <c r="A2352" s="274"/>
      <c r="B2352" s="66" t="s">
        <v>776</v>
      </c>
      <c r="C2352" s="17"/>
      <c r="D2352" s="52"/>
      <c r="E2352" s="20"/>
      <c r="F2352" s="255"/>
      <c r="G2352" s="10"/>
    </row>
    <row r="2353" spans="1:13" ht="25.5" x14ac:dyDescent="0.2">
      <c r="A2353" s="274"/>
      <c r="B2353" s="66" t="s">
        <v>1082</v>
      </c>
      <c r="C2353" s="17"/>
      <c r="D2353" s="92">
        <f>2.66+0.6+0.2+1.98+2.9*6+3.03+1.83+0.6+0.2+1.98*3+1.23*3</f>
        <v>38.130000000000003</v>
      </c>
      <c r="E2353" s="20"/>
      <c r="F2353" s="255"/>
      <c r="G2353" s="10"/>
    </row>
    <row r="2354" spans="1:13" x14ac:dyDescent="0.2">
      <c r="A2354" s="274"/>
      <c r="B2354" s="66"/>
      <c r="C2354" s="17"/>
      <c r="D2354" s="52"/>
      <c r="E2354" s="20"/>
      <c r="F2354" s="255"/>
      <c r="G2354" s="10"/>
    </row>
    <row r="2355" spans="1:13" x14ac:dyDescent="0.2">
      <c r="A2355" s="274"/>
      <c r="B2355" s="40" t="s">
        <v>303</v>
      </c>
      <c r="C2355" s="17" t="s">
        <v>40</v>
      </c>
      <c r="D2355" s="312">
        <f>SUM(D2336:D2354)</f>
        <v>608.24999999999989</v>
      </c>
      <c r="E2355" s="12"/>
      <c r="F2355" s="255">
        <f>E2355*D2355</f>
        <v>0</v>
      </c>
      <c r="G2355" s="10"/>
    </row>
    <row r="2356" spans="1:13" x14ac:dyDescent="0.2">
      <c r="A2356" s="274"/>
      <c r="B2356" s="40"/>
      <c r="C2356" s="17"/>
      <c r="D2356" s="312"/>
      <c r="E2356" s="12"/>
      <c r="F2356" s="255"/>
      <c r="G2356" s="10"/>
    </row>
    <row r="2357" spans="1:13" ht="25.5" x14ac:dyDescent="0.2">
      <c r="A2357" s="257" t="s">
        <v>653</v>
      </c>
      <c r="B2357" s="167" t="s">
        <v>1078</v>
      </c>
      <c r="C2357" s="17"/>
      <c r="D2357" s="312"/>
      <c r="E2357" s="12"/>
      <c r="F2357" s="255"/>
      <c r="G2357" s="10"/>
    </row>
    <row r="2358" spans="1:13" x14ac:dyDescent="0.2">
      <c r="A2358" s="274"/>
      <c r="B2358" s="167"/>
      <c r="C2358" s="17"/>
      <c r="D2358" s="312"/>
      <c r="E2358" s="12"/>
      <c r="F2358" s="255"/>
      <c r="G2358" s="10"/>
    </row>
    <row r="2359" spans="1:13" x14ac:dyDescent="0.2">
      <c r="A2359" s="274"/>
      <c r="B2359" s="25" t="s">
        <v>862</v>
      </c>
      <c r="C2359" s="39"/>
      <c r="D2359" s="103"/>
      <c r="E2359" s="25"/>
      <c r="F2359" s="235"/>
      <c r="G2359" s="10"/>
    </row>
    <row r="2360" spans="1:13" x14ac:dyDescent="0.2">
      <c r="A2360" s="396"/>
      <c r="B2360" s="354" t="s">
        <v>1083</v>
      </c>
      <c r="C2360" s="368" t="s">
        <v>40</v>
      </c>
      <c r="D2360" s="342">
        <f>3.225*2*3+2.85*2</f>
        <v>25.05</v>
      </c>
      <c r="E2360" s="343"/>
      <c r="F2360" s="344">
        <f>+D2360*E2360</f>
        <v>0</v>
      </c>
      <c r="G2360" s="10"/>
    </row>
    <row r="2361" spans="1:13" x14ac:dyDescent="0.2">
      <c r="A2361" s="259"/>
      <c r="B2361" s="33"/>
      <c r="C2361" s="17"/>
      <c r="D2361" s="312"/>
      <c r="E2361" s="18"/>
      <c r="F2361" s="255"/>
      <c r="G2361" s="105"/>
      <c r="H2361" s="74"/>
      <c r="I2361" s="74"/>
      <c r="J2361" s="74"/>
      <c r="K2361" s="74"/>
      <c r="L2361" s="74"/>
      <c r="M2361" s="74"/>
    </row>
    <row r="2362" spans="1:13" ht="51" x14ac:dyDescent="0.2">
      <c r="A2362" s="259" t="s">
        <v>161</v>
      </c>
      <c r="B2362" s="168" t="s">
        <v>613</v>
      </c>
      <c r="C2362" s="17"/>
      <c r="D2362" s="52"/>
      <c r="E2362" s="37"/>
      <c r="F2362" s="249"/>
      <c r="G2362" s="209"/>
    </row>
    <row r="2363" spans="1:13" ht="25.5" x14ac:dyDescent="0.2">
      <c r="A2363" s="281"/>
      <c r="B2363" s="1" t="s">
        <v>614</v>
      </c>
      <c r="C2363" s="17"/>
      <c r="D2363" s="52"/>
      <c r="E2363" s="37"/>
      <c r="F2363" s="249"/>
      <c r="G2363" s="209"/>
    </row>
    <row r="2364" spans="1:13" ht="51" x14ac:dyDescent="0.2">
      <c r="A2364" s="281"/>
      <c r="B2364" s="168" t="s">
        <v>615</v>
      </c>
      <c r="C2364" s="17"/>
      <c r="D2364" s="52"/>
      <c r="E2364" s="37"/>
      <c r="F2364" s="249"/>
      <c r="G2364" s="209"/>
    </row>
    <row r="2365" spans="1:13" ht="38.25" x14ac:dyDescent="0.2">
      <c r="A2365" s="259"/>
      <c r="B2365" s="168" t="s">
        <v>154</v>
      </c>
      <c r="C2365" s="17"/>
      <c r="D2365" s="312"/>
      <c r="E2365" s="18"/>
      <c r="F2365" s="255"/>
      <c r="G2365" s="105"/>
    </row>
    <row r="2366" spans="1:13" ht="38.25" x14ac:dyDescent="0.2">
      <c r="A2366" s="259"/>
      <c r="B2366" s="169" t="s">
        <v>616</v>
      </c>
      <c r="C2366" s="17"/>
      <c r="D2366" s="312"/>
      <c r="E2366" s="18"/>
      <c r="F2366" s="255"/>
      <c r="G2366" s="105"/>
    </row>
    <row r="2367" spans="1:13" s="74" customFormat="1" ht="51" x14ac:dyDescent="0.2">
      <c r="A2367" s="285"/>
      <c r="B2367" s="169" t="s">
        <v>617</v>
      </c>
      <c r="C2367" s="17"/>
      <c r="D2367" s="312"/>
      <c r="E2367" s="12"/>
      <c r="F2367" s="249"/>
      <c r="G2367" s="11"/>
      <c r="H2367" s="75"/>
    </row>
    <row r="2368" spans="1:13" x14ac:dyDescent="0.2">
      <c r="A2368" s="259"/>
      <c r="B2368" s="169" t="s">
        <v>42</v>
      </c>
      <c r="C2368" s="25"/>
      <c r="D2368" s="65"/>
      <c r="E2368" s="12"/>
      <c r="F2368" s="249"/>
      <c r="G2368" s="11"/>
    </row>
    <row r="2369" spans="1:7" x14ac:dyDescent="0.2">
      <c r="A2369" s="259"/>
      <c r="B2369" s="138"/>
      <c r="C2369" s="25"/>
      <c r="D2369" s="65"/>
      <c r="E2369" s="12"/>
      <c r="F2369" s="249"/>
      <c r="G2369" s="11"/>
    </row>
    <row r="2370" spans="1:7" ht="38.25" x14ac:dyDescent="0.2">
      <c r="A2370" s="285" t="s">
        <v>1084</v>
      </c>
      <c r="B2370" s="166" t="s">
        <v>1085</v>
      </c>
      <c r="C2370" s="25"/>
      <c r="D2370" s="65"/>
      <c r="E2370" s="12"/>
      <c r="F2370" s="249"/>
      <c r="G2370" s="11"/>
    </row>
    <row r="2371" spans="1:7" x14ac:dyDescent="0.2">
      <c r="A2371" s="259"/>
      <c r="B2371" s="81"/>
      <c r="C2371" s="25"/>
      <c r="D2371" s="65"/>
      <c r="E2371" s="12"/>
      <c r="F2371" s="249"/>
      <c r="G2371" s="11"/>
    </row>
    <row r="2372" spans="1:7" x14ac:dyDescent="0.2">
      <c r="A2372" s="259"/>
      <c r="B2372" s="25" t="s">
        <v>28</v>
      </c>
      <c r="C2372" s="25"/>
      <c r="D2372" s="65"/>
      <c r="E2372" s="12"/>
      <c r="F2372" s="249"/>
      <c r="G2372" s="11"/>
    </row>
    <row r="2373" spans="1:7" ht="38.25" x14ac:dyDescent="0.2">
      <c r="A2373" s="259"/>
      <c r="B2373" s="26" t="s">
        <v>1086</v>
      </c>
      <c r="C2373" s="25"/>
      <c r="D2373" s="29">
        <f>2.45*(8.38+8.7+8.38+8.55+8.61+5.18+8.55+8.79+8.6+8.75+5.13+8.55)-(1*0.6+0.8*2.05*12-0.5*14)</f>
        <v>222.33650000000003</v>
      </c>
      <c r="E2373" s="12"/>
      <c r="F2373" s="249"/>
      <c r="G2373" s="11"/>
    </row>
    <row r="2374" spans="1:7" x14ac:dyDescent="0.2">
      <c r="A2374" s="259"/>
      <c r="B2374" s="25"/>
      <c r="C2374" s="25"/>
      <c r="D2374" s="65"/>
      <c r="E2374" s="12"/>
      <c r="F2374" s="249"/>
      <c r="G2374" s="11"/>
    </row>
    <row r="2375" spans="1:7" x14ac:dyDescent="0.2">
      <c r="A2375" s="259"/>
      <c r="B2375" s="25" t="s">
        <v>746</v>
      </c>
      <c r="C2375" s="25"/>
      <c r="D2375" s="65"/>
      <c r="E2375" s="12"/>
      <c r="F2375" s="249"/>
      <c r="G2375" s="11"/>
    </row>
    <row r="2376" spans="1:7" ht="38.25" x14ac:dyDescent="0.2">
      <c r="A2376" s="259"/>
      <c r="B2376" s="26" t="s">
        <v>1087</v>
      </c>
      <c r="C2376" s="25"/>
      <c r="D2376" s="29">
        <f>2.45*(8.38+8.7+8.38+8.55+8.61+5.18+8.55+8.79+8.6+8.75+5.13+8.55+8.12)-(1*0.6+0.8*2.05*13-0.5*15)</f>
        <v>241.09050000000002</v>
      </c>
      <c r="E2376" s="12"/>
      <c r="F2376" s="249"/>
      <c r="G2376" s="11"/>
    </row>
    <row r="2377" spans="1:7" x14ac:dyDescent="0.2">
      <c r="A2377" s="259"/>
      <c r="B2377" s="25"/>
      <c r="C2377" s="25"/>
      <c r="D2377" s="29"/>
      <c r="E2377" s="12"/>
      <c r="F2377" s="249"/>
      <c r="G2377" s="11"/>
    </row>
    <row r="2378" spans="1:7" x14ac:dyDescent="0.2">
      <c r="A2378" s="259"/>
      <c r="B2378" s="25" t="s">
        <v>750</v>
      </c>
      <c r="C2378" s="25"/>
      <c r="D2378" s="29"/>
      <c r="E2378" s="12"/>
      <c r="F2378" s="249"/>
      <c r="G2378" s="11"/>
    </row>
    <row r="2379" spans="1:7" ht="38.25" x14ac:dyDescent="0.2">
      <c r="A2379" s="259"/>
      <c r="B2379" s="26" t="s">
        <v>1088</v>
      </c>
      <c r="C2379" s="25"/>
      <c r="D2379" s="29">
        <f>2*2.45*(8.38+8.7+8.38+8.55+8.61+5.18+8.55+8.79+8.6+8.75+5.13+8.55+8.12)-2*(1*0.6+0.8*2.05*13-0.5*15)</f>
        <v>482.18100000000004</v>
      </c>
      <c r="E2379" s="12"/>
      <c r="F2379" s="249"/>
      <c r="G2379" s="11"/>
    </row>
    <row r="2380" spans="1:7" x14ac:dyDescent="0.2">
      <c r="A2380" s="259"/>
      <c r="B2380" s="26"/>
      <c r="C2380" s="25"/>
      <c r="D2380" s="29"/>
      <c r="E2380" s="12"/>
      <c r="F2380" s="249"/>
      <c r="G2380" s="11"/>
    </row>
    <row r="2381" spans="1:7" x14ac:dyDescent="0.2">
      <c r="A2381" s="259"/>
      <c r="B2381" s="26" t="s">
        <v>776</v>
      </c>
      <c r="C2381" s="25"/>
      <c r="D2381" s="29"/>
      <c r="E2381" s="12"/>
      <c r="F2381" s="249"/>
      <c r="G2381" s="11"/>
    </row>
    <row r="2382" spans="1:7" ht="38.25" x14ac:dyDescent="0.2">
      <c r="A2382" s="259"/>
      <c r="B2382" s="26" t="s">
        <v>1087</v>
      </c>
      <c r="C2382" s="25"/>
      <c r="D2382" s="29">
        <f>2.45*(8.38+8.7+8.38+8.55+8.61+5.18+8.55+8.79+8.6+8.75+5.13+8.55+8.12)-(1*0.6+0.8*2.05*13-0.5*15)</f>
        <v>241.09050000000002</v>
      </c>
      <c r="E2382" s="12"/>
      <c r="F2382" s="249"/>
      <c r="G2382" s="11"/>
    </row>
    <row r="2383" spans="1:7" x14ac:dyDescent="0.2">
      <c r="A2383" s="259"/>
      <c r="B2383" s="26"/>
      <c r="C2383" s="25"/>
      <c r="D2383" s="29"/>
      <c r="E2383" s="12"/>
      <c r="F2383" s="249"/>
      <c r="G2383" s="11"/>
    </row>
    <row r="2384" spans="1:7" ht="38.25" x14ac:dyDescent="0.2">
      <c r="A2384" s="370"/>
      <c r="B2384" s="346" t="s">
        <v>618</v>
      </c>
      <c r="C2384" s="347"/>
      <c r="D2384" s="342"/>
      <c r="E2384" s="343"/>
      <c r="F2384" s="344"/>
      <c r="G2384" s="11"/>
    </row>
    <row r="2385" spans="1:7" x14ac:dyDescent="0.2">
      <c r="A2385" s="259"/>
      <c r="B2385" s="26"/>
      <c r="C2385" s="25"/>
      <c r="D2385" s="29"/>
      <c r="E2385" s="12"/>
      <c r="F2385" s="249"/>
      <c r="G2385" s="11"/>
    </row>
    <row r="2386" spans="1:7" x14ac:dyDescent="0.2">
      <c r="A2386" s="259"/>
      <c r="B2386" s="26" t="s">
        <v>28</v>
      </c>
      <c r="C2386" s="25"/>
      <c r="D2386" s="29"/>
      <c r="E2386" s="12"/>
      <c r="F2386" s="249"/>
      <c r="G2386" s="11"/>
    </row>
    <row r="2387" spans="1:7" ht="51" x14ac:dyDescent="0.2">
      <c r="A2387" s="259"/>
      <c r="B2387" s="60" t="s">
        <v>1089</v>
      </c>
      <c r="C2387" s="25"/>
      <c r="D2387" s="29">
        <f>3.35+0.7*2+1.7+2.53+0.8+0.77+2.5+0.66*2+2.81+0.77+1.7+0.8+2.52+0.6+0.44+2.61+0.77+1.7+0.76+0.77*2+3.3+1.7+2.61+0.77</f>
        <v>39.770000000000003</v>
      </c>
      <c r="E2387" s="12"/>
      <c r="F2387" s="249"/>
      <c r="G2387" s="11"/>
    </row>
    <row r="2388" spans="1:7" x14ac:dyDescent="0.2">
      <c r="A2388" s="259"/>
      <c r="B2388" s="25"/>
      <c r="C2388" s="25"/>
      <c r="D2388" s="65"/>
      <c r="E2388" s="12"/>
      <c r="F2388" s="249"/>
      <c r="G2388" s="11"/>
    </row>
    <row r="2389" spans="1:7" x14ac:dyDescent="0.2">
      <c r="A2389" s="259"/>
      <c r="B2389" s="25" t="s">
        <v>746</v>
      </c>
      <c r="C2389" s="25"/>
      <c r="D2389" s="65"/>
      <c r="E2389" s="12"/>
      <c r="F2389" s="249"/>
      <c r="G2389" s="11"/>
    </row>
    <row r="2390" spans="1:7" ht="63.75" x14ac:dyDescent="0.2">
      <c r="A2390" s="259"/>
      <c r="B2390" s="26" t="s">
        <v>1090</v>
      </c>
      <c r="C2390" s="25"/>
      <c r="D2390" s="29">
        <f>3.35+0.7*2+1.7+2.53+0.8+0.77+2.5+0.66*2+2.81+0.77+1.7+0.8+2.52+0.6+0.44+2.61+0.77+1.7+0.76+0.77*2+3.3+1.7+2.61+0.77+0.72+1.7+2.7+0.7</f>
        <v>45.590000000000011</v>
      </c>
      <c r="E2390" s="12"/>
      <c r="F2390" s="249"/>
      <c r="G2390" s="11"/>
    </row>
    <row r="2391" spans="1:7" x14ac:dyDescent="0.2">
      <c r="A2391" s="259"/>
      <c r="B2391" s="25"/>
      <c r="C2391" s="25"/>
      <c r="D2391" s="29"/>
      <c r="E2391" s="12"/>
      <c r="F2391" s="249"/>
      <c r="G2391" s="11"/>
    </row>
    <row r="2392" spans="1:7" x14ac:dyDescent="0.2">
      <c r="A2392" s="259"/>
      <c r="B2392" s="25" t="s">
        <v>750</v>
      </c>
      <c r="C2392" s="25"/>
      <c r="D2392" s="29"/>
      <c r="E2392" s="12"/>
      <c r="F2392" s="249"/>
      <c r="G2392" s="11"/>
    </row>
    <row r="2393" spans="1:7" ht="63.75" x14ac:dyDescent="0.2">
      <c r="A2393" s="259"/>
      <c r="B2393" s="26" t="s">
        <v>1091</v>
      </c>
      <c r="C2393" s="25"/>
      <c r="D2393" s="29">
        <f>2*(3.35+0.7*2+1.7+2.53+0.8+0.77+2.5+0.66*2+2.81+0.77+1.7+0.8+2.52+0.6+0.44+2.61+0.77+1.7+0.76+0.77*2+3.3+1.7+2.61+0.77+0.72+1.7+2.7+0.7)</f>
        <v>91.180000000000021</v>
      </c>
      <c r="E2393" s="12"/>
      <c r="F2393" s="249"/>
      <c r="G2393" s="11"/>
    </row>
    <row r="2394" spans="1:7" x14ac:dyDescent="0.2">
      <c r="A2394" s="259"/>
      <c r="B2394" s="26"/>
      <c r="C2394" s="25"/>
      <c r="D2394" s="29"/>
      <c r="E2394" s="12"/>
      <c r="F2394" s="249"/>
      <c r="G2394" s="11"/>
    </row>
    <row r="2395" spans="1:7" x14ac:dyDescent="0.2">
      <c r="A2395" s="259"/>
      <c r="B2395" s="26" t="s">
        <v>776</v>
      </c>
      <c r="C2395" s="25"/>
      <c r="D2395" s="29"/>
      <c r="E2395" s="12"/>
      <c r="F2395" s="249"/>
      <c r="G2395" s="11"/>
    </row>
    <row r="2396" spans="1:7" ht="63.75" x14ac:dyDescent="0.2">
      <c r="A2396" s="259"/>
      <c r="B2396" s="26" t="s">
        <v>1090</v>
      </c>
      <c r="C2396" s="25"/>
      <c r="D2396" s="29">
        <f>3.35+0.7*2+1.7+2.53+0.8+0.77+2.5+0.66*2+2.81+0.77+1.7+0.8+2.52+0.6+0.44+2.61+0.77+1.7+0.76+0.77*2+3.3+1.7+2.61+0.77+0.72+1.7+2.7+0.7</f>
        <v>45.590000000000011</v>
      </c>
      <c r="E2396" s="12"/>
      <c r="F2396" s="249"/>
      <c r="G2396" s="11"/>
    </row>
    <row r="2397" spans="1:7" x14ac:dyDescent="0.2">
      <c r="A2397" s="259"/>
      <c r="B2397" s="26"/>
      <c r="C2397" s="25"/>
      <c r="D2397" s="29"/>
      <c r="E2397" s="12"/>
      <c r="F2397" s="249"/>
      <c r="G2397" s="11"/>
    </row>
    <row r="2398" spans="1:7" x14ac:dyDescent="0.2">
      <c r="A2398" s="259"/>
      <c r="B2398" s="20" t="s">
        <v>183</v>
      </c>
      <c r="C2398" s="17" t="s">
        <v>39</v>
      </c>
      <c r="D2398" s="52">
        <f>SUM(D2368:D2397)</f>
        <v>1408.8284999999998</v>
      </c>
      <c r="E2398" s="12"/>
      <c r="F2398" s="249">
        <f>+D2398*E2398</f>
        <v>0</v>
      </c>
      <c r="G2398" s="11"/>
    </row>
    <row r="2399" spans="1:7" x14ac:dyDescent="0.2">
      <c r="A2399" s="259"/>
      <c r="B2399" s="20"/>
      <c r="C2399" s="17"/>
      <c r="D2399" s="52"/>
      <c r="E2399" s="12"/>
      <c r="F2399" s="249"/>
      <c r="G2399" s="11"/>
    </row>
    <row r="2400" spans="1:7" ht="89.25" x14ac:dyDescent="0.2">
      <c r="A2400" s="259" t="s">
        <v>162</v>
      </c>
      <c r="B2400" s="34" t="s">
        <v>936</v>
      </c>
      <c r="C2400" s="155"/>
      <c r="D2400" s="315"/>
      <c r="E2400" s="156"/>
      <c r="F2400" s="287"/>
      <c r="G2400" s="11"/>
    </row>
    <row r="2401" spans="1:7" ht="38.25" x14ac:dyDescent="0.2">
      <c r="A2401" s="259"/>
      <c r="B2401" s="34" t="s">
        <v>937</v>
      </c>
      <c r="C2401" s="155"/>
      <c r="D2401" s="315"/>
      <c r="E2401" s="156"/>
      <c r="F2401" s="287"/>
      <c r="G2401" s="11"/>
    </row>
    <row r="2402" spans="1:7" ht="38.25" x14ac:dyDescent="0.2">
      <c r="A2402" s="259"/>
      <c r="B2402" s="34" t="s">
        <v>938</v>
      </c>
      <c r="C2402" s="155"/>
      <c r="D2402" s="315"/>
      <c r="E2402" s="156"/>
      <c r="F2402" s="287"/>
      <c r="G2402" s="11"/>
    </row>
    <row r="2403" spans="1:7" x14ac:dyDescent="0.2">
      <c r="A2403" s="259"/>
      <c r="B2403" s="12"/>
      <c r="C2403" s="17"/>
      <c r="D2403" s="312"/>
      <c r="E2403" s="18"/>
      <c r="F2403" s="255"/>
      <c r="G2403" s="11"/>
    </row>
    <row r="2404" spans="1:7" ht="25.5" x14ac:dyDescent="0.2">
      <c r="A2404" s="257" t="s">
        <v>305</v>
      </c>
      <c r="B2404" s="20" t="s">
        <v>696</v>
      </c>
      <c r="C2404" s="17"/>
      <c r="D2404" s="312"/>
      <c r="E2404" s="18"/>
      <c r="F2404" s="255"/>
      <c r="G2404" s="11"/>
    </row>
    <row r="2405" spans="1:7" x14ac:dyDescent="0.2">
      <c r="A2405" s="259"/>
      <c r="B2405" s="24" t="s">
        <v>1092</v>
      </c>
      <c r="C2405" s="17" t="s">
        <v>40</v>
      </c>
      <c r="D2405" s="52">
        <f>6*2.75</f>
        <v>16.5</v>
      </c>
      <c r="E2405" s="12"/>
      <c r="F2405" s="249">
        <f>+D2405*E2405</f>
        <v>0</v>
      </c>
      <c r="G2405" s="11"/>
    </row>
    <row r="2406" spans="1:7" x14ac:dyDescent="0.2">
      <c r="A2406" s="259"/>
      <c r="B2406" s="20"/>
      <c r="C2406" s="17"/>
      <c r="D2406" s="52"/>
      <c r="E2406" s="12"/>
      <c r="F2406" s="249"/>
      <c r="G2406" s="11"/>
    </row>
    <row r="2407" spans="1:7" ht="25.5" x14ac:dyDescent="0.2">
      <c r="A2407" s="257" t="s">
        <v>305</v>
      </c>
      <c r="B2407" s="20" t="s">
        <v>695</v>
      </c>
      <c r="C2407" s="17"/>
      <c r="D2407" s="52"/>
      <c r="E2407" s="12"/>
      <c r="F2407" s="249"/>
      <c r="G2407" s="11"/>
    </row>
    <row r="2408" spans="1:7" x14ac:dyDescent="0.2">
      <c r="A2408" s="259"/>
      <c r="B2408" s="26"/>
      <c r="C2408" s="39"/>
      <c r="D2408" s="29"/>
      <c r="E2408" s="25"/>
      <c r="F2408" s="235"/>
      <c r="G2408" s="11"/>
    </row>
    <row r="2409" spans="1:7" x14ac:dyDescent="0.2">
      <c r="A2409" s="259"/>
      <c r="B2409" s="25" t="s">
        <v>862</v>
      </c>
      <c r="C2409" s="39"/>
      <c r="D2409" s="103"/>
      <c r="E2409" s="25"/>
      <c r="F2409" s="235"/>
      <c r="G2409" s="11"/>
    </row>
    <row r="2410" spans="1:7" ht="12.75" customHeight="1" x14ac:dyDescent="0.2">
      <c r="A2410" s="370"/>
      <c r="B2410" s="354" t="s">
        <v>1093</v>
      </c>
      <c r="C2410" s="363" t="s">
        <v>40</v>
      </c>
      <c r="D2410" s="342">
        <f>1.325*8+1.3265*8+3*9*(1.325+1.365)</f>
        <v>93.841999999999999</v>
      </c>
      <c r="E2410" s="343"/>
      <c r="F2410" s="344">
        <f>+D2410*E2410</f>
        <v>0</v>
      </c>
      <c r="G2410" s="76"/>
    </row>
    <row r="2411" spans="1:7" x14ac:dyDescent="0.2">
      <c r="A2411" s="259"/>
      <c r="B2411" s="26"/>
      <c r="C2411" s="17"/>
      <c r="D2411" s="29"/>
      <c r="E2411" s="12"/>
      <c r="F2411" s="249"/>
      <c r="G2411" s="76"/>
    </row>
    <row r="2412" spans="1:7" ht="51" x14ac:dyDescent="0.2">
      <c r="A2412" s="259" t="s">
        <v>1132</v>
      </c>
      <c r="B2412" s="166" t="s">
        <v>1134</v>
      </c>
      <c r="C2412" s="17"/>
      <c r="D2412" s="29"/>
      <c r="E2412" s="12"/>
      <c r="F2412" s="249"/>
      <c r="G2412" s="76"/>
    </row>
    <row r="2413" spans="1:7" ht="38.25" x14ac:dyDescent="0.2">
      <c r="A2413" s="259"/>
      <c r="B2413" s="166" t="s">
        <v>606</v>
      </c>
      <c r="C2413" s="17"/>
      <c r="D2413" s="29"/>
      <c r="E2413" s="12"/>
      <c r="F2413" s="249"/>
      <c r="G2413" s="76"/>
    </row>
    <row r="2414" spans="1:7" ht="25.5" x14ac:dyDescent="0.2">
      <c r="A2414" s="259"/>
      <c r="B2414" s="166" t="s">
        <v>607</v>
      </c>
      <c r="C2414" s="17"/>
      <c r="D2414" s="29"/>
      <c r="E2414" s="12"/>
      <c r="F2414" s="249"/>
      <c r="G2414" s="76"/>
    </row>
    <row r="2415" spans="1:7" ht="25.5" x14ac:dyDescent="0.2">
      <c r="A2415" s="259"/>
      <c r="B2415" s="166" t="s">
        <v>609</v>
      </c>
      <c r="C2415" s="17"/>
      <c r="D2415" s="29"/>
      <c r="E2415" s="12"/>
      <c r="F2415" s="249"/>
      <c r="G2415" s="76"/>
    </row>
    <row r="2416" spans="1:7" x14ac:dyDescent="0.2">
      <c r="A2416" s="259"/>
      <c r="B2416" s="166" t="s">
        <v>1159</v>
      </c>
      <c r="C2416" s="17"/>
      <c r="D2416" s="29"/>
      <c r="E2416" s="12"/>
      <c r="F2416" s="249"/>
      <c r="G2416" s="76"/>
    </row>
    <row r="2417" spans="1:13" x14ac:dyDescent="0.2">
      <c r="A2417" s="259"/>
      <c r="B2417" s="26"/>
      <c r="C2417" s="17"/>
      <c r="D2417" s="29"/>
      <c r="E2417" s="12"/>
      <c r="F2417" s="249"/>
      <c r="G2417" s="76"/>
    </row>
    <row r="2418" spans="1:13" ht="51" x14ac:dyDescent="0.2">
      <c r="A2418" s="259"/>
      <c r="B2418" s="166" t="s">
        <v>935</v>
      </c>
      <c r="C2418" s="17"/>
      <c r="D2418" s="52"/>
      <c r="E2418" s="12"/>
      <c r="F2418" s="249"/>
      <c r="G2418" s="76"/>
      <c r="H2418" s="24"/>
      <c r="I2418" s="62"/>
      <c r="J2418" s="24"/>
      <c r="K2418" s="12"/>
      <c r="L2418" s="157"/>
      <c r="M2418" s="186"/>
    </row>
    <row r="2419" spans="1:13" x14ac:dyDescent="0.2">
      <c r="A2419" s="259"/>
      <c r="B2419" s="81"/>
      <c r="C2419" s="17"/>
      <c r="D2419" s="52"/>
      <c r="E2419" s="12"/>
      <c r="F2419" s="249"/>
      <c r="G2419" s="76"/>
      <c r="H2419" s="24"/>
      <c r="I2419" s="62"/>
      <c r="J2419" s="24"/>
      <c r="K2419" s="12"/>
      <c r="L2419" s="157"/>
      <c r="M2419" s="186"/>
    </row>
    <row r="2420" spans="1:13" x14ac:dyDescent="0.2">
      <c r="A2420" s="259"/>
      <c r="B2420" s="24" t="s">
        <v>28</v>
      </c>
      <c r="C2420" s="62"/>
      <c r="D2420" s="52"/>
      <c r="E2420" s="12"/>
      <c r="F2420" s="249"/>
      <c r="G2420" s="76"/>
      <c r="H2420" s="24"/>
      <c r="I2420" s="62"/>
      <c r="J2420" s="24"/>
      <c r="K2420" s="12"/>
      <c r="L2420" s="157"/>
      <c r="M2420" s="186"/>
    </row>
    <row r="2421" spans="1:13" x14ac:dyDescent="0.2">
      <c r="A2421" s="259"/>
      <c r="B2421" s="24" t="s">
        <v>1136</v>
      </c>
      <c r="C2421" s="62"/>
      <c r="D2421" s="52">
        <f>3*(1.02+2.78)+4*(1.4*2+3)</f>
        <v>34.599999999999994</v>
      </c>
      <c r="E2421" s="12"/>
      <c r="F2421" s="249"/>
      <c r="G2421" s="76"/>
      <c r="H2421" s="24"/>
      <c r="I2421" s="62"/>
      <c r="J2421" s="24"/>
      <c r="K2421" s="12"/>
      <c r="L2421" s="157"/>
      <c r="M2421" s="186"/>
    </row>
    <row r="2422" spans="1:13" x14ac:dyDescent="0.2">
      <c r="A2422" s="259"/>
      <c r="B2422" s="24"/>
      <c r="C2422" s="62"/>
      <c r="D2422" s="52"/>
      <c r="E2422" s="12"/>
      <c r="F2422" s="249"/>
      <c r="G2422" s="76"/>
      <c r="H2422" s="24"/>
      <c r="I2422" s="62"/>
      <c r="J2422" s="24"/>
      <c r="K2422" s="12"/>
      <c r="L2422" s="157"/>
      <c r="M2422" s="186"/>
    </row>
    <row r="2423" spans="1:13" x14ac:dyDescent="0.2">
      <c r="A2423" s="259"/>
      <c r="B2423" s="24" t="s">
        <v>1048</v>
      </c>
      <c r="C2423" s="62"/>
      <c r="D2423" s="52"/>
      <c r="E2423" s="12"/>
      <c r="F2423" s="249"/>
      <c r="G2423" s="76"/>
      <c r="H2423" s="24"/>
      <c r="I2423" s="62"/>
      <c r="J2423" s="24"/>
      <c r="K2423" s="12"/>
      <c r="L2423" s="157"/>
      <c r="M2423" s="186"/>
    </row>
    <row r="2424" spans="1:13" x14ac:dyDescent="0.2">
      <c r="A2424" s="259"/>
      <c r="B2424" s="19" t="s">
        <v>1137</v>
      </c>
      <c r="C2424" s="62"/>
      <c r="D2424" s="52">
        <f>4*(3*(1.02+2.78)+5*(1.4*2+3))</f>
        <v>161.6</v>
      </c>
      <c r="E2424" s="12"/>
      <c r="F2424" s="249"/>
      <c r="G2424" s="76"/>
      <c r="H2424" s="24"/>
      <c r="I2424" s="62"/>
      <c r="J2424" s="24"/>
      <c r="K2424" s="12"/>
      <c r="L2424" s="157"/>
      <c r="M2424" s="186"/>
    </row>
    <row r="2425" spans="1:13" x14ac:dyDescent="0.2">
      <c r="A2425" s="259"/>
      <c r="B2425" s="24"/>
      <c r="C2425" s="62"/>
      <c r="D2425" s="52"/>
      <c r="E2425" s="12"/>
      <c r="F2425" s="249"/>
      <c r="G2425" s="76"/>
      <c r="H2425" s="24"/>
      <c r="I2425" s="62"/>
      <c r="J2425" s="24"/>
      <c r="K2425" s="12"/>
      <c r="L2425" s="157"/>
      <c r="M2425" s="186"/>
    </row>
    <row r="2426" spans="1:13" x14ac:dyDescent="0.2">
      <c r="A2426" s="259"/>
      <c r="B2426" s="24" t="s">
        <v>1135</v>
      </c>
      <c r="C2426" s="17" t="s">
        <v>40</v>
      </c>
      <c r="D2426" s="125">
        <f>SUM(D2418:D2425)</f>
        <v>196.2</v>
      </c>
      <c r="E2426" s="12"/>
      <c r="F2426" s="249">
        <f>E2426*D2426</f>
        <v>0</v>
      </c>
      <c r="G2426" s="76"/>
      <c r="H2426" s="24"/>
      <c r="I2426" s="62"/>
      <c r="J2426" s="24"/>
      <c r="K2426" s="12"/>
      <c r="L2426" s="157"/>
      <c r="M2426" s="186"/>
    </row>
    <row r="2427" spans="1:13" ht="13.5" thickBot="1" x14ac:dyDescent="0.25">
      <c r="A2427" s="259"/>
      <c r="B2427" s="20"/>
      <c r="C2427" s="17"/>
      <c r="D2427" s="52"/>
      <c r="E2427" s="12"/>
      <c r="F2427" s="249"/>
      <c r="G2427" s="11"/>
    </row>
    <row r="2428" spans="1:13" ht="15.75" customHeight="1" thickBot="1" x14ac:dyDescent="0.25">
      <c r="A2428" s="261" t="str">
        <f>A2253</f>
        <v>12.</v>
      </c>
      <c r="B2428" s="49" t="s">
        <v>105</v>
      </c>
      <c r="C2428" s="50"/>
      <c r="D2428" s="324"/>
      <c r="E2428" s="51"/>
      <c r="F2428" s="244">
        <f>SUM(F2255:F2427)</f>
        <v>0</v>
      </c>
      <c r="G2428" s="198"/>
      <c r="H2428" s="4"/>
      <c r="I2428" s="3"/>
      <c r="J2428" s="3"/>
      <c r="K2428" s="3"/>
      <c r="L2428" s="3"/>
      <c r="M2428" s="2"/>
    </row>
    <row r="2429" spans="1:13" ht="15.75" customHeight="1" thickBot="1" x14ac:dyDescent="0.25">
      <c r="A2429" s="262" t="s">
        <v>82</v>
      </c>
      <c r="B2429" s="49" t="s">
        <v>601</v>
      </c>
      <c r="C2429" s="50"/>
      <c r="D2429" s="324"/>
      <c r="E2429" s="59"/>
      <c r="F2429" s="273"/>
      <c r="G2429" s="198"/>
    </row>
    <row r="2430" spans="1:13" x14ac:dyDescent="0.2">
      <c r="A2430" s="234"/>
      <c r="B2430" s="25"/>
      <c r="C2430" s="25"/>
      <c r="D2430" s="65"/>
      <c r="E2430" s="64"/>
      <c r="F2430" s="235"/>
    </row>
    <row r="2431" spans="1:13" ht="76.5" x14ac:dyDescent="0.2">
      <c r="A2431" s="264" t="s">
        <v>83</v>
      </c>
      <c r="B2431" s="166" t="s">
        <v>690</v>
      </c>
      <c r="C2431" s="25"/>
      <c r="D2431" s="65"/>
      <c r="E2431" s="25"/>
      <c r="F2431" s="235"/>
      <c r="H2431" s="180"/>
    </row>
    <row r="2432" spans="1:13" ht="38.25" x14ac:dyDescent="0.2">
      <c r="A2432" s="234"/>
      <c r="B2432" s="288" t="s">
        <v>1102</v>
      </c>
      <c r="C2432" s="25"/>
      <c r="D2432" s="65"/>
      <c r="E2432" s="25"/>
      <c r="F2432" s="235"/>
    </row>
    <row r="2433" spans="1:7" ht="63.75" x14ac:dyDescent="0.2">
      <c r="A2433" s="234"/>
      <c r="B2433" s="288" t="s">
        <v>1103</v>
      </c>
      <c r="C2433" s="25"/>
      <c r="D2433" s="65"/>
      <c r="E2433" s="25"/>
      <c r="F2433" s="235"/>
    </row>
    <row r="2434" spans="1:7" ht="51" x14ac:dyDescent="0.2">
      <c r="A2434" s="234"/>
      <c r="B2434" s="288" t="s">
        <v>1104</v>
      </c>
      <c r="C2434" s="25"/>
      <c r="D2434" s="65"/>
      <c r="E2434" s="25"/>
      <c r="F2434" s="235"/>
    </row>
    <row r="2435" spans="1:7" ht="63.75" x14ac:dyDescent="0.2">
      <c r="A2435" s="234"/>
      <c r="B2435" s="288" t="s">
        <v>1105</v>
      </c>
      <c r="C2435" s="25"/>
      <c r="D2435" s="65"/>
      <c r="E2435" s="25"/>
      <c r="F2435" s="235"/>
    </row>
    <row r="2436" spans="1:7" ht="25.5" x14ac:dyDescent="0.2">
      <c r="A2436" s="234"/>
      <c r="B2436" s="288" t="s">
        <v>1106</v>
      </c>
      <c r="C2436" s="25"/>
      <c r="D2436" s="65"/>
      <c r="E2436" s="25"/>
      <c r="F2436" s="235"/>
    </row>
    <row r="2437" spans="1:7" ht="38.25" x14ac:dyDescent="0.2">
      <c r="A2437" s="234"/>
      <c r="B2437" s="288" t="s">
        <v>1107</v>
      </c>
      <c r="C2437" s="25"/>
      <c r="D2437" s="65"/>
      <c r="E2437" s="25"/>
      <c r="F2437" s="235"/>
    </row>
    <row r="2438" spans="1:7" ht="63.75" x14ac:dyDescent="0.2">
      <c r="A2438" s="234"/>
      <c r="B2438" s="288" t="s">
        <v>1108</v>
      </c>
      <c r="C2438" s="25"/>
      <c r="D2438" s="65"/>
      <c r="E2438" s="25"/>
      <c r="F2438" s="235"/>
    </row>
    <row r="2439" spans="1:7" ht="51" x14ac:dyDescent="0.2">
      <c r="A2439" s="234"/>
      <c r="B2439" s="288" t="s">
        <v>1109</v>
      </c>
      <c r="C2439" s="25"/>
      <c r="D2439" s="65"/>
      <c r="E2439" s="25"/>
      <c r="F2439" s="235"/>
    </row>
    <row r="2440" spans="1:7" ht="38.25" x14ac:dyDescent="0.2">
      <c r="A2440" s="234"/>
      <c r="B2440" s="288" t="s">
        <v>1110</v>
      </c>
      <c r="C2440" s="25"/>
      <c r="D2440" s="65"/>
      <c r="E2440" s="25"/>
      <c r="F2440" s="235"/>
    </row>
    <row r="2441" spans="1:7" ht="54" customHeight="1" x14ac:dyDescent="0.2">
      <c r="A2441" s="234"/>
      <c r="B2441" s="288" t="s">
        <v>1111</v>
      </c>
      <c r="C2441" s="25"/>
      <c r="D2441" s="65"/>
      <c r="E2441" s="25"/>
      <c r="F2441" s="235"/>
    </row>
    <row r="2442" spans="1:7" ht="63.75" x14ac:dyDescent="0.2">
      <c r="A2442" s="339"/>
      <c r="B2442" s="346" t="s">
        <v>688</v>
      </c>
      <c r="C2442" s="347"/>
      <c r="D2442" s="348"/>
      <c r="E2442" s="347"/>
      <c r="F2442" s="349"/>
    </row>
    <row r="2443" spans="1:7" x14ac:dyDescent="0.2">
      <c r="A2443" s="234"/>
      <c r="B2443" s="166"/>
      <c r="C2443" s="25"/>
      <c r="D2443" s="65"/>
      <c r="E2443" s="25"/>
      <c r="F2443" s="235"/>
    </row>
    <row r="2444" spans="1:7" ht="28.5" customHeight="1" x14ac:dyDescent="0.2">
      <c r="A2444" s="234"/>
      <c r="B2444" s="166" t="s">
        <v>689</v>
      </c>
      <c r="C2444" s="25"/>
      <c r="D2444" s="65"/>
      <c r="E2444" s="25"/>
      <c r="F2444" s="235"/>
      <c r="G2444" s="195"/>
    </row>
    <row r="2445" spans="1:7" x14ac:dyDescent="0.2">
      <c r="A2445" s="234"/>
      <c r="B2445" s="81"/>
      <c r="C2445" s="25"/>
      <c r="D2445" s="65"/>
      <c r="E2445" s="25"/>
      <c r="F2445" s="235"/>
      <c r="G2445" s="195"/>
    </row>
    <row r="2446" spans="1:7" x14ac:dyDescent="0.2">
      <c r="A2446" s="234"/>
      <c r="B2446" s="25" t="s">
        <v>28</v>
      </c>
      <c r="C2446" s="25"/>
      <c r="D2446" s="65"/>
      <c r="E2446" s="25"/>
      <c r="F2446" s="235"/>
      <c r="G2446" s="195"/>
    </row>
    <row r="2447" spans="1:7" ht="65.25" customHeight="1" x14ac:dyDescent="0.2">
      <c r="A2447" s="234"/>
      <c r="B2447" s="26" t="s">
        <v>1099</v>
      </c>
      <c r="C2447" s="17"/>
      <c r="D2447" s="29">
        <f>5.16+20.44+11.12+1.11+19.8+8.5+1.04+20.17+1.95+20.95+7.49+5.87+23.28+11.56+11.41+1.24+3.25+20.34+12.68+3.22+22.85+2.5+21.45+4.95+23.96+11.61+11.23+1.24+0.76+20.01+8.5</f>
        <v>339.64</v>
      </c>
      <c r="E2447" s="25"/>
      <c r="F2447" s="235"/>
    </row>
    <row r="2448" spans="1:7" x14ac:dyDescent="0.2">
      <c r="A2448" s="234"/>
      <c r="B2448" s="26"/>
      <c r="C2448" s="17"/>
      <c r="D2448" s="29"/>
      <c r="E2448" s="25"/>
      <c r="F2448" s="235"/>
    </row>
    <row r="2449" spans="1:6" x14ac:dyDescent="0.2">
      <c r="A2449" s="234"/>
      <c r="B2449" s="25" t="s">
        <v>746</v>
      </c>
      <c r="C2449" s="25"/>
      <c r="D2449" s="65"/>
      <c r="E2449" s="25"/>
      <c r="F2449" s="235"/>
    </row>
    <row r="2450" spans="1:6" ht="76.5" x14ac:dyDescent="0.2">
      <c r="A2450" s="234"/>
      <c r="B2450" s="26" t="s">
        <v>1100</v>
      </c>
      <c r="C2450" s="25"/>
      <c r="D2450" s="29">
        <f>2.5+21.45+4.95+23.96+11.61+11.23+1.24+0.76+20.01+8.5+3.15+20.27+12.56+1.74+5.16+20.44+11.12+1.11+19.8+8.5+1.04+20.82+3.25+20.33+12.65+5.87+23.27+11.56+11.41+1.24+1.95+21+7.48+3.22+22.91</f>
        <v>378.06000000000012</v>
      </c>
      <c r="E2450" s="25"/>
      <c r="F2450" s="235"/>
    </row>
    <row r="2451" spans="1:6" x14ac:dyDescent="0.2">
      <c r="A2451" s="234"/>
      <c r="B2451" s="25"/>
      <c r="C2451" s="25"/>
      <c r="D2451" s="29"/>
      <c r="E2451" s="25"/>
      <c r="F2451" s="235"/>
    </row>
    <row r="2452" spans="1:6" x14ac:dyDescent="0.2">
      <c r="A2452" s="234"/>
      <c r="B2452" s="25" t="s">
        <v>750</v>
      </c>
      <c r="C2452" s="25"/>
      <c r="D2452" s="29"/>
      <c r="E2452" s="25"/>
      <c r="F2452" s="235"/>
    </row>
    <row r="2453" spans="1:6" ht="76.5" x14ac:dyDescent="0.2">
      <c r="A2453" s="234"/>
      <c r="B2453" s="26" t="s">
        <v>1101</v>
      </c>
      <c r="C2453" s="25"/>
      <c r="D2453" s="29">
        <f>2*(2.5+21.45+4.95+23.96+11.61+11.23+1.24+0.76+20.01+8.5+3.15+20.27+12.56+1.74+5.16+20.44+11.12+1.11+19.8+8.5+1.04+20.82+3.25+20.33+12.65+5.87+23.27+11.56+11.41+1.24+1.95+21+7.48+3.22+22.91)</f>
        <v>756.12000000000023</v>
      </c>
      <c r="E2453" s="25"/>
      <c r="F2453" s="235"/>
    </row>
    <row r="2454" spans="1:6" x14ac:dyDescent="0.2">
      <c r="A2454" s="234"/>
      <c r="B2454" s="26"/>
      <c r="C2454" s="25"/>
      <c r="D2454" s="29"/>
      <c r="E2454" s="25"/>
      <c r="F2454" s="235"/>
    </row>
    <row r="2455" spans="1:6" x14ac:dyDescent="0.2">
      <c r="A2455" s="234"/>
      <c r="B2455" s="26" t="s">
        <v>776</v>
      </c>
      <c r="C2455" s="25"/>
      <c r="D2455" s="29"/>
      <c r="E2455" s="25"/>
      <c r="F2455" s="235"/>
    </row>
    <row r="2456" spans="1:6" ht="76.5" x14ac:dyDescent="0.2">
      <c r="A2456" s="234"/>
      <c r="B2456" s="60" t="s">
        <v>841</v>
      </c>
      <c r="C2456" s="25"/>
      <c r="D2456" s="29">
        <f>2.5+21.45+4.95+23.96+11.61+11.23+1.24+0.76+20.01+8.5+3.08+20.13+12.6+1.64+5.16+20.45+11.12+1.11+19.81+8.5+1.04+20.17+3.23+20.34+12.64+5.87+23.26+11.56+11.41+1.24+0.79+20.87+7.63+3.73+22.27</f>
        <v>375.86</v>
      </c>
      <c r="E2456" s="25"/>
      <c r="F2456" s="235"/>
    </row>
    <row r="2457" spans="1:6" x14ac:dyDescent="0.2">
      <c r="A2457" s="234"/>
      <c r="B2457" s="63"/>
      <c r="C2457" s="39"/>
      <c r="D2457" s="103"/>
      <c r="E2457" s="25"/>
      <c r="F2457" s="235"/>
    </row>
    <row r="2458" spans="1:6" x14ac:dyDescent="0.2">
      <c r="A2458" s="234"/>
      <c r="B2458" s="79" t="s">
        <v>691</v>
      </c>
      <c r="C2458" s="112" t="s">
        <v>39</v>
      </c>
      <c r="D2458" s="29">
        <f>SUM(D2439:D2457)</f>
        <v>1849.6800000000003</v>
      </c>
      <c r="E2458" s="12"/>
      <c r="F2458" s="255">
        <f>E2458*D2458</f>
        <v>0</v>
      </c>
    </row>
    <row r="2459" spans="1:6" x14ac:dyDescent="0.2">
      <c r="A2459" s="234"/>
      <c r="B2459" s="74"/>
      <c r="C2459" s="25"/>
      <c r="D2459" s="65"/>
      <c r="E2459" s="25"/>
      <c r="F2459" s="235"/>
    </row>
    <row r="2460" spans="1:6" ht="89.25" x14ac:dyDescent="0.2">
      <c r="A2460" s="264" t="s">
        <v>214</v>
      </c>
      <c r="B2460" s="74" t="s">
        <v>694</v>
      </c>
      <c r="C2460" s="25"/>
      <c r="D2460" s="65"/>
      <c r="E2460" s="25"/>
      <c r="F2460" s="235"/>
    </row>
    <row r="2461" spans="1:6" ht="51" x14ac:dyDescent="0.2">
      <c r="A2461" s="234"/>
      <c r="B2461" s="74" t="s">
        <v>692</v>
      </c>
      <c r="C2461" s="25"/>
      <c r="D2461" s="65"/>
      <c r="E2461" s="25"/>
      <c r="F2461" s="235"/>
    </row>
    <row r="2462" spans="1:6" x14ac:dyDescent="0.2">
      <c r="A2462" s="339"/>
      <c r="B2462" s="158" t="s">
        <v>693</v>
      </c>
      <c r="C2462" s="347"/>
      <c r="D2462" s="348"/>
      <c r="E2462" s="347"/>
      <c r="F2462" s="349"/>
    </row>
    <row r="2463" spans="1:6" x14ac:dyDescent="0.2">
      <c r="A2463" s="234"/>
      <c r="B2463" s="74"/>
      <c r="C2463" s="25"/>
      <c r="D2463" s="65"/>
      <c r="E2463" s="25"/>
      <c r="F2463" s="235"/>
    </row>
    <row r="2464" spans="1:6" x14ac:dyDescent="0.2">
      <c r="A2464" s="234"/>
      <c r="B2464" s="25" t="s">
        <v>28</v>
      </c>
      <c r="C2464" s="25"/>
      <c r="D2464" s="65"/>
      <c r="E2464" s="25"/>
      <c r="F2464" s="235"/>
    </row>
    <row r="2465" spans="1:6" ht="76.5" x14ac:dyDescent="0.2">
      <c r="A2465" s="234"/>
      <c r="B2465" s="26" t="s">
        <v>1112</v>
      </c>
      <c r="C2465" s="25"/>
      <c r="D2465" s="29">
        <f>11.06+19.88+13.57+4.44+19.22+12.21+4.24+20.73+5.78+22.08+11.26+10.05+23.99+14.28+13.53+4.45+9.5+19.63+14.75+7.62+19.92+6.39+2.67+9.44+24.52+14.28+13.43+4.45+3.92+19.64+12.21</f>
        <v>393.13999999999993</v>
      </c>
      <c r="E2465" s="61"/>
      <c r="F2465" s="235"/>
    </row>
    <row r="2466" spans="1:6" x14ac:dyDescent="0.2">
      <c r="A2466" s="234"/>
      <c r="B2466" s="100"/>
      <c r="C2466" s="25"/>
      <c r="D2466" s="65"/>
      <c r="E2466" s="25"/>
      <c r="F2466" s="235"/>
    </row>
    <row r="2467" spans="1:6" x14ac:dyDescent="0.2">
      <c r="A2467" s="234"/>
      <c r="B2467" s="25" t="s">
        <v>746</v>
      </c>
      <c r="C2467" s="25"/>
      <c r="D2467" s="65"/>
      <c r="E2467" s="25"/>
      <c r="F2467" s="235"/>
    </row>
    <row r="2468" spans="1:6" ht="76.5" x14ac:dyDescent="0.2">
      <c r="A2468" s="234"/>
      <c r="B2468" s="26" t="s">
        <v>1113</v>
      </c>
      <c r="C2468" s="25"/>
      <c r="D2468" s="29">
        <f>6.39+20.61+9.44+24.52+14.28+13.43+4.45+3.92+19.64+12.21+7.1+18.01+15.09+5.48+11.06+19.88+13.57+4.44+19.22+12.21+4.24+21.13+9.5+19.63+14.95+10.05+23.99+14.28+13.53+4.45+5.78+22.09+11.26+7.62+19.92</f>
        <v>457.36999999999983</v>
      </c>
      <c r="E2468" s="61"/>
      <c r="F2468" s="235"/>
    </row>
    <row r="2469" spans="1:6" x14ac:dyDescent="0.2">
      <c r="A2469" s="234"/>
      <c r="B2469" s="25"/>
      <c r="C2469" s="25"/>
      <c r="D2469" s="65"/>
      <c r="E2469" s="25"/>
      <c r="F2469" s="235"/>
    </row>
    <row r="2470" spans="1:6" x14ac:dyDescent="0.2">
      <c r="A2470" s="234"/>
      <c r="B2470" s="25" t="s">
        <v>750</v>
      </c>
      <c r="C2470" s="25"/>
      <c r="D2470" s="65"/>
      <c r="E2470" s="25"/>
      <c r="F2470" s="235"/>
    </row>
    <row r="2471" spans="1:6" ht="89.25" x14ac:dyDescent="0.2">
      <c r="A2471" s="234"/>
      <c r="B2471" s="26" t="s">
        <v>1114</v>
      </c>
      <c r="C2471" s="25"/>
      <c r="D2471" s="29">
        <f>2*(6.39+20.61+9.44+24.52+14.28+13.43+4.45+3.92+19.64+12.21+7.1+18.01+15.09+5.48+11.06+19.88+13.57+4.44+19.22+12.21+4.24+21.13+9.5+19.63+14.95+10.05+23.99+14.28+13.53+4.45+5.78+22.09+11.26+7.62+19.92)</f>
        <v>914.73999999999967</v>
      </c>
      <c r="E2471" s="61"/>
      <c r="F2471" s="235"/>
    </row>
    <row r="2472" spans="1:6" x14ac:dyDescent="0.2">
      <c r="A2472" s="234"/>
      <c r="B2472" s="26"/>
      <c r="C2472" s="25"/>
      <c r="D2472" s="65"/>
      <c r="E2472" s="61"/>
      <c r="F2472" s="235"/>
    </row>
    <row r="2473" spans="1:6" x14ac:dyDescent="0.2">
      <c r="A2473" s="234"/>
      <c r="B2473" s="26" t="s">
        <v>776</v>
      </c>
      <c r="C2473" s="25"/>
      <c r="D2473" s="65"/>
      <c r="E2473" s="61"/>
      <c r="F2473" s="235"/>
    </row>
    <row r="2474" spans="1:6" ht="76.5" x14ac:dyDescent="0.2">
      <c r="A2474" s="234"/>
      <c r="B2474" s="26" t="s">
        <v>1113</v>
      </c>
      <c r="C2474" s="25"/>
      <c r="D2474" s="29">
        <f>6.39+20.61+9.44+24.52+14.28+13.43+4.45+3.92+19.64+12.21+7.1+18.01+15.09+5.48+11.06+19.88+13.57+4.44+19.22+12.21+4.24+21.13+9.5+19.63+14.95+10.05+23.99+14.28+13.53+4.45+5.78+22.09+11.26+7.62+19.92</f>
        <v>457.36999999999983</v>
      </c>
      <c r="E2474" s="61"/>
      <c r="F2474" s="235"/>
    </row>
    <row r="2475" spans="1:6" x14ac:dyDescent="0.2">
      <c r="A2475" s="234"/>
      <c r="B2475" s="25"/>
      <c r="C2475" s="25"/>
      <c r="D2475" s="65"/>
      <c r="E2475" s="25"/>
      <c r="F2475" s="235"/>
    </row>
    <row r="2476" spans="1:6" x14ac:dyDescent="0.2">
      <c r="A2476" s="234"/>
      <c r="B2476" s="149" t="s">
        <v>600</v>
      </c>
      <c r="C2476" s="150" t="s">
        <v>40</v>
      </c>
      <c r="D2476" s="18">
        <f>SUM(D2465:D2475)</f>
        <v>2222.6199999999994</v>
      </c>
      <c r="E2476" s="12"/>
      <c r="F2476" s="255">
        <f>E2476*D2476</f>
        <v>0</v>
      </c>
    </row>
    <row r="2477" spans="1:6" x14ac:dyDescent="0.2">
      <c r="A2477" s="234"/>
      <c r="B2477" s="181"/>
      <c r="C2477" s="150"/>
      <c r="D2477" s="331"/>
      <c r="E2477" s="38"/>
      <c r="F2477" s="255"/>
    </row>
    <row r="2478" spans="1:6" ht="25.5" x14ac:dyDescent="0.2">
      <c r="A2478" s="264" t="s">
        <v>215</v>
      </c>
      <c r="B2478" s="166" t="s">
        <v>647</v>
      </c>
      <c r="C2478" s="25"/>
      <c r="D2478" s="65"/>
      <c r="E2478" s="25"/>
      <c r="F2478" s="235"/>
    </row>
    <row r="2479" spans="1:6" ht="38.25" x14ac:dyDescent="0.2">
      <c r="A2479" s="234"/>
      <c r="B2479" s="166" t="s">
        <v>620</v>
      </c>
      <c r="C2479" s="25"/>
      <c r="D2479" s="65"/>
      <c r="E2479" s="25"/>
      <c r="F2479" s="235"/>
    </row>
    <row r="2480" spans="1:6" x14ac:dyDescent="0.2">
      <c r="A2480" s="234"/>
      <c r="B2480" s="166" t="s">
        <v>621</v>
      </c>
      <c r="C2480" s="25"/>
      <c r="D2480" s="65"/>
      <c r="E2480" s="25"/>
      <c r="F2480" s="235"/>
    </row>
    <row r="2481" spans="1:6" x14ac:dyDescent="0.2">
      <c r="A2481" s="234"/>
      <c r="B2481" s="12"/>
      <c r="C2481" s="25"/>
      <c r="D2481" s="65"/>
      <c r="E2481" s="25"/>
      <c r="F2481" s="235"/>
    </row>
    <row r="2482" spans="1:6" x14ac:dyDescent="0.2">
      <c r="A2482" s="234"/>
      <c r="B2482" s="25" t="s">
        <v>28</v>
      </c>
      <c r="C2482" s="25"/>
      <c r="D2482" s="65"/>
      <c r="E2482" s="25"/>
      <c r="F2482" s="235"/>
    </row>
    <row r="2483" spans="1:6" ht="25.5" x14ac:dyDescent="0.2">
      <c r="A2483" s="234"/>
      <c r="B2483" s="26" t="s">
        <v>1115</v>
      </c>
      <c r="C2483" s="25"/>
      <c r="D2483" s="29">
        <f>0.8*20+1.73+1.05+1.74+1.13+1.81+2.88+1.88+1.2</f>
        <v>29.419999999999995</v>
      </c>
      <c r="E2483" s="25"/>
      <c r="F2483" s="235"/>
    </row>
    <row r="2484" spans="1:6" x14ac:dyDescent="0.2">
      <c r="A2484" s="234"/>
      <c r="B2484" s="100"/>
      <c r="C2484" s="25"/>
      <c r="D2484" s="65"/>
      <c r="E2484" s="25"/>
      <c r="F2484" s="235"/>
    </row>
    <row r="2485" spans="1:6" x14ac:dyDescent="0.2">
      <c r="A2485" s="234"/>
      <c r="B2485" s="25" t="s">
        <v>746</v>
      </c>
      <c r="C2485" s="25"/>
      <c r="D2485" s="65"/>
      <c r="E2485" s="25"/>
      <c r="F2485" s="235"/>
    </row>
    <row r="2486" spans="1:6" ht="25.5" x14ac:dyDescent="0.2">
      <c r="A2486" s="339"/>
      <c r="B2486" s="354" t="s">
        <v>1116</v>
      </c>
      <c r="C2486" s="347"/>
      <c r="D2486" s="342">
        <f>0.8*22+1.73+1.05+1.74+1.13+1.81+2.88+1.88+1.2</f>
        <v>31.019999999999996</v>
      </c>
      <c r="E2486" s="347"/>
      <c r="F2486" s="349"/>
    </row>
    <row r="2487" spans="1:6" x14ac:dyDescent="0.2">
      <c r="A2487" s="234"/>
      <c r="B2487" s="25"/>
      <c r="C2487" s="25"/>
      <c r="D2487" s="65"/>
      <c r="E2487" s="25"/>
      <c r="F2487" s="235"/>
    </row>
    <row r="2488" spans="1:6" x14ac:dyDescent="0.2">
      <c r="A2488" s="234"/>
      <c r="B2488" s="25" t="s">
        <v>750</v>
      </c>
      <c r="C2488" s="25"/>
      <c r="D2488" s="65"/>
      <c r="E2488" s="25"/>
      <c r="F2488" s="235"/>
    </row>
    <row r="2489" spans="1:6" ht="25.5" x14ac:dyDescent="0.2">
      <c r="A2489" s="234"/>
      <c r="B2489" s="26" t="s">
        <v>1117</v>
      </c>
      <c r="C2489" s="25"/>
      <c r="D2489" s="29">
        <f>2*(0.8*22+1.73+1.05+1.74+1.13+1.81+2.88+1.88+1.2)</f>
        <v>62.039999999999992</v>
      </c>
      <c r="E2489" s="25"/>
      <c r="F2489" s="235"/>
    </row>
    <row r="2490" spans="1:6" x14ac:dyDescent="0.2">
      <c r="A2490" s="234"/>
      <c r="B2490" s="25"/>
      <c r="C2490" s="25"/>
      <c r="D2490" s="65"/>
      <c r="E2490" s="25"/>
      <c r="F2490" s="235"/>
    </row>
    <row r="2491" spans="1:6" x14ac:dyDescent="0.2">
      <c r="A2491" s="234"/>
      <c r="B2491" s="26" t="s">
        <v>776</v>
      </c>
      <c r="C2491" s="25"/>
      <c r="D2491" s="65"/>
      <c r="E2491" s="25"/>
      <c r="F2491" s="235"/>
    </row>
    <row r="2492" spans="1:6" ht="25.5" x14ac:dyDescent="0.2">
      <c r="A2492" s="234"/>
      <c r="B2492" s="26" t="s">
        <v>1116</v>
      </c>
      <c r="C2492" s="25"/>
      <c r="D2492" s="29">
        <f>0.8*22+1.73+1.05+1.74+1.13+1.81+2.88+1.88+1.2</f>
        <v>31.019999999999996</v>
      </c>
      <c r="E2492" s="25"/>
      <c r="F2492" s="235"/>
    </row>
    <row r="2493" spans="1:6" x14ac:dyDescent="0.2">
      <c r="A2493" s="234"/>
      <c r="B2493" s="25"/>
      <c r="C2493" s="25"/>
      <c r="D2493" s="65"/>
      <c r="E2493" s="25"/>
      <c r="F2493" s="235"/>
    </row>
    <row r="2494" spans="1:6" x14ac:dyDescent="0.2">
      <c r="A2494" s="234"/>
      <c r="B2494" s="149" t="s">
        <v>619</v>
      </c>
      <c r="C2494" s="150" t="s">
        <v>40</v>
      </c>
      <c r="D2494" s="331">
        <f>SUM(D2483:D2493)</f>
        <v>153.5</v>
      </c>
      <c r="E2494" s="38"/>
      <c r="F2494" s="255">
        <f>E2494*D2494</f>
        <v>0</v>
      </c>
    </row>
    <row r="2495" spans="1:6" ht="13.5" thickBot="1" x14ac:dyDescent="0.25">
      <c r="A2495" s="234"/>
      <c r="B2495" s="25"/>
      <c r="C2495" s="25"/>
      <c r="D2495" s="65"/>
      <c r="E2495" s="25"/>
      <c r="F2495" s="235"/>
    </row>
    <row r="2496" spans="1:6" ht="15.75" customHeight="1" thickBot="1" x14ac:dyDescent="0.25">
      <c r="A2496" s="261" t="str">
        <f>A2429</f>
        <v>13.</v>
      </c>
      <c r="B2496" s="49" t="s">
        <v>602</v>
      </c>
      <c r="C2496" s="50"/>
      <c r="D2496" s="324"/>
      <c r="E2496" s="51"/>
      <c r="F2496" s="244">
        <f>SUM(F2430:F2495)</f>
        <v>0</v>
      </c>
    </row>
    <row r="2497" spans="1:6" ht="15.75" customHeight="1" thickBot="1" x14ac:dyDescent="0.25">
      <c r="A2497" s="262" t="s">
        <v>77</v>
      </c>
      <c r="B2497" s="49" t="s">
        <v>20</v>
      </c>
      <c r="C2497" s="50"/>
      <c r="D2497" s="324"/>
      <c r="E2497" s="59"/>
      <c r="F2497" s="273"/>
    </row>
    <row r="2498" spans="1:6" x14ac:dyDescent="0.2">
      <c r="A2498" s="234"/>
      <c r="B2498" s="25"/>
      <c r="C2498" s="25"/>
      <c r="D2498" s="65"/>
      <c r="E2498" s="25"/>
      <c r="F2498" s="235"/>
    </row>
    <row r="2499" spans="1:6" ht="51" x14ac:dyDescent="0.2">
      <c r="A2499" s="259" t="s">
        <v>78</v>
      </c>
      <c r="B2499" s="20" t="s">
        <v>623</v>
      </c>
      <c r="C2499" s="25"/>
      <c r="D2499" s="65"/>
      <c r="E2499" s="25"/>
      <c r="F2499" s="235"/>
    </row>
    <row r="2500" spans="1:6" ht="51" x14ac:dyDescent="0.2">
      <c r="A2500" s="234"/>
      <c r="B2500" s="20" t="s">
        <v>624</v>
      </c>
      <c r="C2500" s="25"/>
      <c r="D2500" s="65"/>
      <c r="E2500" s="25"/>
      <c r="F2500" s="235"/>
    </row>
    <row r="2501" spans="1:6" ht="28.5" customHeight="1" x14ac:dyDescent="0.2">
      <c r="A2501" s="234"/>
      <c r="B2501" s="20" t="s">
        <v>625</v>
      </c>
      <c r="C2501" s="25"/>
      <c r="D2501" s="65"/>
      <c r="E2501" s="25"/>
      <c r="F2501" s="235"/>
    </row>
    <row r="2502" spans="1:6" x14ac:dyDescent="0.2">
      <c r="A2502" s="234"/>
      <c r="B2502" s="12" t="s">
        <v>110</v>
      </c>
      <c r="C2502" s="25"/>
      <c r="D2502" s="65"/>
      <c r="E2502" s="25"/>
      <c r="F2502" s="235"/>
    </row>
    <row r="2503" spans="1:6" s="74" customFormat="1" x14ac:dyDescent="0.2">
      <c r="A2503" s="234"/>
      <c r="B2503" s="12"/>
      <c r="C2503" s="25"/>
      <c r="D2503" s="65"/>
      <c r="E2503" s="25"/>
      <c r="F2503" s="235"/>
    </row>
    <row r="2504" spans="1:6" x14ac:dyDescent="0.2">
      <c r="A2504" s="289" t="s">
        <v>654</v>
      </c>
      <c r="B2504" s="12" t="s">
        <v>626</v>
      </c>
      <c r="C2504" s="25"/>
      <c r="D2504" s="65"/>
      <c r="E2504" s="25"/>
      <c r="F2504" s="235"/>
    </row>
    <row r="2505" spans="1:6" x14ac:dyDescent="0.2">
      <c r="A2505" s="289"/>
      <c r="B2505" s="12"/>
      <c r="C2505" s="25"/>
      <c r="D2505" s="65"/>
      <c r="E2505" s="25"/>
      <c r="F2505" s="235"/>
    </row>
    <row r="2506" spans="1:6" x14ac:dyDescent="0.2">
      <c r="A2506" s="289"/>
      <c r="B2506" s="12" t="s">
        <v>175</v>
      </c>
      <c r="C2506" s="25"/>
      <c r="D2506" s="65"/>
      <c r="E2506" s="25"/>
      <c r="F2506" s="235"/>
    </row>
    <row r="2507" spans="1:6" ht="25.5" x14ac:dyDescent="0.2">
      <c r="A2507" s="289"/>
      <c r="B2507" s="24" t="s">
        <v>1123</v>
      </c>
      <c r="C2507" s="25"/>
      <c r="D2507" s="52">
        <f>2.47*(20.63+16.09)+2.26*(7.64+12.94)</f>
        <v>137.20920000000001</v>
      </c>
      <c r="E2507" s="25"/>
      <c r="F2507" s="235"/>
    </row>
    <row r="2508" spans="1:6" x14ac:dyDescent="0.2">
      <c r="A2508" s="289"/>
      <c r="B2508" s="12"/>
      <c r="C2508" s="25"/>
      <c r="D2508" s="65"/>
      <c r="E2508" s="25"/>
      <c r="F2508" s="235"/>
    </row>
    <row r="2509" spans="1:6" x14ac:dyDescent="0.2">
      <c r="A2509" s="234"/>
      <c r="B2509" s="25" t="s">
        <v>28</v>
      </c>
      <c r="C2509" s="25"/>
      <c r="D2509" s="65"/>
      <c r="E2509" s="25"/>
      <c r="F2509" s="235"/>
    </row>
    <row r="2510" spans="1:6" ht="114.75" x14ac:dyDescent="0.2">
      <c r="A2510" s="234"/>
      <c r="B2510" s="26" t="s">
        <v>1583</v>
      </c>
      <c r="C2510" s="25"/>
      <c r="D2510" s="29">
        <f>2.67*(11.06+19.88+8.52+13.57+4.44+19.22+8.39+12.21+4.24+20.73+8.59+5.78+22.08+8.54+11.26+10.05+23.99+10+14.28+13.53+4.45+9.5+19.63+8.54+14.75+7.62+19.92+9.42+6.39+20.61+8.49+9.44+24.52+10.25+14.28+13.43+4.45+3.92+19.64+8.47+12.21)-100.27-(2.1*1.6*2+2.7*2.4*5+1.6*2.4-3*8)</f>
        <v>1216.5442999999998</v>
      </c>
      <c r="E2510" s="25"/>
      <c r="F2510" s="235"/>
    </row>
    <row r="2511" spans="1:6" ht="25.5" x14ac:dyDescent="0.2">
      <c r="A2511" s="234"/>
      <c r="B2511" s="26" t="s">
        <v>1584</v>
      </c>
      <c r="C2511" s="17"/>
      <c r="D2511" s="29">
        <f>2.67*(0.61+0.38+0.6)+2.4*80.11-(1.55*2-3)</f>
        <v>196.40929999999997</v>
      </c>
      <c r="E2511" s="25"/>
      <c r="F2511" s="235"/>
    </row>
    <row r="2512" spans="1:6" x14ac:dyDescent="0.2">
      <c r="A2512" s="234"/>
      <c r="B2512" s="26"/>
      <c r="C2512" s="25"/>
      <c r="D2512" s="29"/>
      <c r="E2512" s="25"/>
      <c r="F2512" s="235"/>
    </row>
    <row r="2513" spans="1:8" x14ac:dyDescent="0.2">
      <c r="A2513" s="234"/>
      <c r="B2513" s="25" t="s">
        <v>746</v>
      </c>
      <c r="C2513" s="25"/>
      <c r="D2513" s="65"/>
      <c r="E2513" s="25"/>
      <c r="F2513" s="235"/>
    </row>
    <row r="2514" spans="1:8" ht="127.5" x14ac:dyDescent="0.2">
      <c r="A2514" s="234"/>
      <c r="B2514" s="26" t="s">
        <v>1585</v>
      </c>
      <c r="C2514" s="25"/>
      <c r="D2514" s="29">
        <f>2.67*(11.06+19.88+8.52+13.57+4.44+19.22+8.39+12.21+4.24+20.73+8.59+5.78+22.08+8.54+11.26+10.05+23.99+10+14.28+13.53+4.45+9.5+19.63+8.54+14.75+7.62+19.92+9.42+6.39+20.61+8.49+9.44+24.52+10.25+14.28+13.43+4.45+3.92+19.64+8.47+12.21+7.1+18.01+8.8+15.09+5.48)-121.58-(2.1*1.6*2+2.7*2.4*6+1.6*2.4-3*9)</f>
        <v>1337.2158999999999</v>
      </c>
      <c r="E2514" s="25"/>
      <c r="F2514" s="235"/>
    </row>
    <row r="2515" spans="1:8" ht="25.5" x14ac:dyDescent="0.2">
      <c r="A2515" s="339"/>
      <c r="B2515" s="354" t="s">
        <v>1586</v>
      </c>
      <c r="C2515" s="363"/>
      <c r="D2515" s="342">
        <f>2.67*(0.61+0.38+0.6+13.16)+2.4*82.31-(1.55*2+1.6*2.25-3*2)</f>
        <v>236.22650000000002</v>
      </c>
      <c r="E2515" s="347"/>
      <c r="F2515" s="349"/>
    </row>
    <row r="2516" spans="1:8" x14ac:dyDescent="0.2">
      <c r="A2516" s="234"/>
      <c r="B2516" s="26"/>
      <c r="C2516" s="25"/>
      <c r="D2516" s="29"/>
      <c r="E2516" s="25"/>
      <c r="F2516" s="235"/>
    </row>
    <row r="2517" spans="1:8" x14ac:dyDescent="0.2">
      <c r="A2517" s="234"/>
      <c r="B2517" s="25" t="s">
        <v>750</v>
      </c>
      <c r="C2517" s="25"/>
      <c r="D2517" s="65"/>
      <c r="E2517" s="25"/>
      <c r="F2517" s="235"/>
    </row>
    <row r="2518" spans="1:8" ht="127.5" x14ac:dyDescent="0.2">
      <c r="A2518" s="234"/>
      <c r="B2518" s="26" t="s">
        <v>1587</v>
      </c>
      <c r="C2518" s="25"/>
      <c r="D2518" s="29">
        <f>2*2.67*(11.06+19.88+8.52+13.57+4.44+19.22+8.39+12.21+4.24+20.73+8.59+5.78+22.08+8.54+11.26+10.05+23.99+10+14.28+13.53+4.45+9.5+19.63+8.54+14.75+7.62+19.92+9.42+6.39+20.61+8.49+9.44+24.52+10.25+14.28+13.43+4.45+3.92+19.64+8.47+12.21+7.1+18.01+8.8+15.09+5.48)-121.58-2*(2.1*1.6*2+2.7*2.4*6+1.6*2.4-3*9)</f>
        <v>2796.0117999999998</v>
      </c>
      <c r="E2518" s="25"/>
      <c r="F2518" s="235"/>
      <c r="H2518" s="8">
        <f>1762-1354</f>
        <v>408</v>
      </c>
    </row>
    <row r="2519" spans="1:8" ht="25.5" x14ac:dyDescent="0.2">
      <c r="A2519" s="234"/>
      <c r="B2519" s="60" t="s">
        <v>1588</v>
      </c>
      <c r="C2519" s="17"/>
      <c r="D2519" s="29">
        <f>2*(2.67*(0.61+0.38+0.6+13.16)+2.4*82.31-(1.55*2+1.6*2.25-3*2))</f>
        <v>472.45300000000003</v>
      </c>
      <c r="E2519" s="25"/>
      <c r="F2519" s="235"/>
    </row>
    <row r="2520" spans="1:8" x14ac:dyDescent="0.2">
      <c r="A2520" s="234"/>
      <c r="B2520" s="26"/>
      <c r="C2520" s="25"/>
      <c r="D2520" s="29"/>
      <c r="E2520" s="25"/>
      <c r="F2520" s="235"/>
    </row>
    <row r="2521" spans="1:8" x14ac:dyDescent="0.2">
      <c r="A2521" s="234"/>
      <c r="B2521" s="25" t="s">
        <v>776</v>
      </c>
      <c r="C2521" s="25"/>
      <c r="D2521" s="65"/>
      <c r="E2521" s="25"/>
      <c r="F2521" s="235"/>
    </row>
    <row r="2522" spans="1:8" ht="127.5" x14ac:dyDescent="0.2">
      <c r="A2522" s="234"/>
      <c r="B2522" s="26" t="s">
        <v>1589</v>
      </c>
      <c r="C2522" s="25"/>
      <c r="D2522" s="29">
        <f>2.51*(11.06+19.88+8.52+13.57+4.44+19.22+8.39+12.21+4.24+20.73+8.59+5.78+22.08+8.54+11.26+10.05+23.99+10+14.28+13.53+4.45+9.5+19.63+8.54+14.75+7.62+19.92+9.42+6.39+20.61+8.49+9.44+24.52+10.25+14.28+13.43+4.45+3.92+19.64+8.47+12.21+7.1+18.01+8.8+15.09+5.48)-122.89-2*(2.1*1.6*2+2.7*2.4*6+1.6*2.4-3*9)</f>
        <v>1224.7026999999998</v>
      </c>
      <c r="E2522" s="25"/>
      <c r="F2522" s="235"/>
    </row>
    <row r="2523" spans="1:8" ht="25.5" x14ac:dyDescent="0.2">
      <c r="A2523" s="234"/>
      <c r="B2523" s="26" t="s">
        <v>1590</v>
      </c>
      <c r="C2523" s="17"/>
      <c r="D2523" s="29">
        <f>2.67*(0.61+0.38+0.6+13.14)+2.4*82.31-(1.55*2+1.6*2.25-3*2)</f>
        <v>236.17310000000003</v>
      </c>
      <c r="E2523" s="25"/>
      <c r="F2523" s="235"/>
    </row>
    <row r="2524" spans="1:8" x14ac:dyDescent="0.2">
      <c r="A2524" s="234"/>
      <c r="B2524" s="26"/>
      <c r="C2524" s="25"/>
      <c r="D2524" s="65"/>
      <c r="E2524" s="25"/>
      <c r="F2524" s="235"/>
    </row>
    <row r="2525" spans="1:8" x14ac:dyDescent="0.2">
      <c r="A2525" s="290"/>
      <c r="B2525" s="72" t="s">
        <v>622</v>
      </c>
      <c r="C2525" s="73" t="s">
        <v>39</v>
      </c>
      <c r="D2525" s="52">
        <f>SUM(D2506:D2524)</f>
        <v>7852.9458000000004</v>
      </c>
      <c r="E2525" s="37"/>
      <c r="F2525" s="291">
        <f>E2525*D2525</f>
        <v>0</v>
      </c>
      <c r="G2525" s="209"/>
    </row>
    <row r="2526" spans="1:8" x14ac:dyDescent="0.2">
      <c r="A2526" s="290"/>
      <c r="B2526" s="72"/>
      <c r="C2526" s="73"/>
      <c r="D2526" s="52"/>
      <c r="E2526" s="37"/>
      <c r="F2526" s="291"/>
      <c r="G2526" s="209"/>
    </row>
    <row r="2527" spans="1:8" x14ac:dyDescent="0.2">
      <c r="A2527" s="289" t="s">
        <v>655</v>
      </c>
      <c r="B2527" s="12" t="s">
        <v>627</v>
      </c>
      <c r="C2527" s="25"/>
      <c r="D2527" s="65"/>
      <c r="E2527" s="25"/>
      <c r="F2527" s="235"/>
      <c r="G2527" s="209"/>
    </row>
    <row r="2528" spans="1:8" x14ac:dyDescent="0.2">
      <c r="A2528" s="289"/>
      <c r="B2528" s="12"/>
      <c r="C2528" s="25"/>
      <c r="D2528" s="65"/>
      <c r="E2528" s="25"/>
      <c r="F2528" s="235"/>
      <c r="G2528" s="209"/>
    </row>
    <row r="2529" spans="1:7" x14ac:dyDescent="0.2">
      <c r="A2529" s="289"/>
      <c r="B2529" s="12" t="s">
        <v>175</v>
      </c>
      <c r="C2529" s="25"/>
      <c r="D2529" s="65"/>
      <c r="E2529" s="25"/>
      <c r="F2529" s="235"/>
      <c r="G2529" s="209"/>
    </row>
    <row r="2530" spans="1:7" x14ac:dyDescent="0.2">
      <c r="A2530" s="289"/>
      <c r="B2530" s="19" t="s">
        <v>1124</v>
      </c>
      <c r="C2530" s="25"/>
      <c r="D2530" s="312">
        <f>26.22+3.64+9.53+15.91</f>
        <v>55.3</v>
      </c>
      <c r="E2530" s="25"/>
      <c r="F2530" s="235"/>
      <c r="G2530" s="209"/>
    </row>
    <row r="2531" spans="1:7" x14ac:dyDescent="0.2">
      <c r="A2531" s="289"/>
      <c r="B2531" s="12"/>
      <c r="C2531" s="25"/>
      <c r="D2531" s="65"/>
      <c r="E2531" s="25"/>
      <c r="F2531" s="235"/>
      <c r="G2531" s="209"/>
    </row>
    <row r="2532" spans="1:7" x14ac:dyDescent="0.2">
      <c r="A2532" s="290"/>
      <c r="B2532" s="25" t="s">
        <v>28</v>
      </c>
      <c r="C2532" s="25"/>
      <c r="D2532" s="65"/>
      <c r="E2532" s="25"/>
      <c r="F2532" s="235"/>
      <c r="G2532" s="209"/>
    </row>
    <row r="2533" spans="1:7" ht="38.25" x14ac:dyDescent="0.2">
      <c r="A2533" s="290"/>
      <c r="B2533" s="26" t="s">
        <v>728</v>
      </c>
      <c r="C2533" s="25"/>
      <c r="D2533" s="29">
        <f>44.85+37.78+29.32+38.9+64.67+44.82+35.43+32.45+64.45+37.68+59.42+20.08</f>
        <v>509.84999999999997</v>
      </c>
      <c r="E2533" s="25"/>
      <c r="F2533" s="235"/>
      <c r="G2533" s="209"/>
    </row>
    <row r="2534" spans="1:7" x14ac:dyDescent="0.2">
      <c r="A2534" s="290"/>
      <c r="B2534" s="25"/>
      <c r="C2534" s="25"/>
      <c r="D2534" s="65"/>
      <c r="E2534" s="25"/>
      <c r="F2534" s="235"/>
      <c r="G2534" s="209"/>
    </row>
    <row r="2535" spans="1:7" x14ac:dyDescent="0.2">
      <c r="A2535" s="290"/>
      <c r="B2535" s="25" t="s">
        <v>746</v>
      </c>
      <c r="C2535" s="25"/>
      <c r="D2535" s="65"/>
      <c r="E2535" s="25"/>
      <c r="F2535" s="235"/>
      <c r="G2535" s="209"/>
    </row>
    <row r="2536" spans="1:7" ht="38.25" x14ac:dyDescent="0.2">
      <c r="A2536" s="290"/>
      <c r="B2536" s="26" t="s">
        <v>1298</v>
      </c>
      <c r="C2536" s="25"/>
      <c r="D2536" s="29">
        <f>44.85+37.78+29.32+38.9+64.67+ 44.82+35.43+32.45+64.45+37.68+ 59.42+ 20.08+46.01</f>
        <v>555.86</v>
      </c>
      <c r="E2536" s="25"/>
      <c r="F2536" s="235"/>
      <c r="G2536" s="209"/>
    </row>
    <row r="2537" spans="1:7" x14ac:dyDescent="0.2">
      <c r="A2537" s="290"/>
      <c r="B2537" s="25"/>
      <c r="C2537" s="25"/>
      <c r="D2537" s="65"/>
      <c r="E2537" s="25"/>
      <c r="F2537" s="235"/>
      <c r="G2537" s="209"/>
    </row>
    <row r="2538" spans="1:7" x14ac:dyDescent="0.2">
      <c r="A2538" s="290"/>
      <c r="B2538" s="25" t="s">
        <v>750</v>
      </c>
      <c r="C2538" s="25"/>
      <c r="D2538" s="65"/>
      <c r="E2538" s="25"/>
      <c r="F2538" s="235"/>
      <c r="G2538" s="209"/>
    </row>
    <row r="2539" spans="1:7" ht="38.25" x14ac:dyDescent="0.2">
      <c r="A2539" s="409"/>
      <c r="B2539" s="354" t="s">
        <v>1299</v>
      </c>
      <c r="C2539" s="347"/>
      <c r="D2539" s="342">
        <f>2*(44.85+37.78+29.32+38.9+64.67+ 44.82+35.43+32.45+64.45+37.68+ 59.42+ 20.08+46.01)</f>
        <v>1111.72</v>
      </c>
      <c r="E2539" s="347"/>
      <c r="F2539" s="349"/>
      <c r="G2539" s="209"/>
    </row>
    <row r="2540" spans="1:7" x14ac:dyDescent="0.2">
      <c r="A2540" s="290"/>
      <c r="B2540" s="26"/>
      <c r="C2540" s="25"/>
      <c r="D2540" s="29"/>
      <c r="E2540" s="25"/>
      <c r="F2540" s="235"/>
      <c r="G2540" s="209"/>
    </row>
    <row r="2541" spans="1:7" x14ac:dyDescent="0.2">
      <c r="A2541" s="290"/>
      <c r="B2541" s="26" t="s">
        <v>776</v>
      </c>
      <c r="C2541" s="25"/>
      <c r="D2541" s="29"/>
      <c r="E2541" s="25"/>
      <c r="F2541" s="235"/>
      <c r="G2541" s="209"/>
    </row>
    <row r="2542" spans="1:7" x14ac:dyDescent="0.2">
      <c r="A2542" s="290"/>
      <c r="B2542" s="26" t="s">
        <v>1300</v>
      </c>
      <c r="C2542" s="25"/>
      <c r="D2542" s="29">
        <f>439.52+81.91+39.49</f>
        <v>560.91999999999996</v>
      </c>
      <c r="E2542" s="25"/>
      <c r="F2542" s="235"/>
      <c r="G2542" s="209"/>
    </row>
    <row r="2543" spans="1:7" x14ac:dyDescent="0.2">
      <c r="A2543" s="290"/>
      <c r="B2543" s="24"/>
      <c r="C2543" s="17"/>
      <c r="D2543" s="52"/>
      <c r="E2543" s="25"/>
      <c r="F2543" s="235"/>
      <c r="G2543" s="209"/>
    </row>
    <row r="2544" spans="1:7" x14ac:dyDescent="0.2">
      <c r="A2544" s="290"/>
      <c r="B2544" s="72" t="s">
        <v>603</v>
      </c>
      <c r="C2544" s="73" t="s">
        <v>39</v>
      </c>
      <c r="D2544" s="52">
        <f>SUM(D2528:D2543)</f>
        <v>2793.65</v>
      </c>
      <c r="E2544" s="37"/>
      <c r="F2544" s="291">
        <f>E2544*D2544</f>
        <v>0</v>
      </c>
      <c r="G2544" s="209"/>
    </row>
    <row r="2545" spans="1:7" x14ac:dyDescent="0.2">
      <c r="A2545" s="290"/>
      <c r="B2545" s="72"/>
      <c r="C2545" s="73"/>
      <c r="D2545" s="52"/>
      <c r="E2545" s="37"/>
      <c r="F2545" s="291"/>
      <c r="G2545" s="209"/>
    </row>
    <row r="2546" spans="1:7" ht="25.5" x14ac:dyDescent="0.2">
      <c r="A2546" s="257" t="s">
        <v>656</v>
      </c>
      <c r="B2546" s="20" t="s">
        <v>628</v>
      </c>
      <c r="C2546" s="17"/>
      <c r="D2546" s="312"/>
      <c r="E2546" s="18"/>
      <c r="F2546" s="291"/>
      <c r="G2546" s="105"/>
    </row>
    <row r="2547" spans="1:7" x14ac:dyDescent="0.2">
      <c r="A2547" s="257"/>
      <c r="B2547" s="20"/>
      <c r="C2547" s="17"/>
      <c r="D2547" s="312"/>
      <c r="E2547" s="18"/>
      <c r="F2547" s="291"/>
      <c r="G2547" s="105"/>
    </row>
    <row r="2548" spans="1:7" x14ac:dyDescent="0.2">
      <c r="A2548" s="290"/>
      <c r="B2548" s="25" t="s">
        <v>836</v>
      </c>
      <c r="C2548" s="17"/>
      <c r="D2548" s="312"/>
      <c r="E2548" s="18"/>
      <c r="F2548" s="291"/>
      <c r="G2548" s="105"/>
    </row>
    <row r="2549" spans="1:7" ht="25.5" x14ac:dyDescent="0.2">
      <c r="A2549" s="290"/>
      <c r="B2549" s="122" t="s">
        <v>1118</v>
      </c>
      <c r="C2549" s="17" t="s">
        <v>39</v>
      </c>
      <c r="D2549" s="29">
        <f>2.78*2*1.22+3.22*3*2*1.22+1.22*2.84*4</f>
        <v>44.212800000000001</v>
      </c>
      <c r="E2549" s="18"/>
      <c r="F2549" s="249">
        <f>E2549*D2549</f>
        <v>0</v>
      </c>
      <c r="G2549" s="105"/>
    </row>
    <row r="2550" spans="1:7" ht="13.5" thickBot="1" x14ac:dyDescent="0.25">
      <c r="A2550" s="234"/>
      <c r="B2550" s="12"/>
      <c r="C2550" s="62"/>
      <c r="D2550" s="29"/>
      <c r="E2550" s="87"/>
      <c r="F2550" s="249"/>
      <c r="G2550" s="105"/>
    </row>
    <row r="2551" spans="1:7" ht="15.75" customHeight="1" thickBot="1" x14ac:dyDescent="0.25">
      <c r="A2551" s="261" t="str">
        <f>A2497</f>
        <v>14.</v>
      </c>
      <c r="B2551" s="49" t="s">
        <v>47</v>
      </c>
      <c r="C2551" s="50"/>
      <c r="D2551" s="324"/>
      <c r="E2551" s="51"/>
      <c r="F2551" s="244">
        <f>SUM(F2499:F2550)</f>
        <v>0</v>
      </c>
      <c r="G2551" s="198"/>
    </row>
    <row r="2552" spans="1:7" ht="15.75" customHeight="1" thickBot="1" x14ac:dyDescent="0.25">
      <c r="A2552" s="262" t="s">
        <v>79</v>
      </c>
      <c r="B2552" s="57" t="s">
        <v>21</v>
      </c>
      <c r="C2552" s="58"/>
      <c r="D2552" s="325"/>
      <c r="E2552" s="59"/>
      <c r="F2552" s="263"/>
      <c r="G2552" s="198"/>
    </row>
    <row r="2553" spans="1:7" x14ac:dyDescent="0.2">
      <c r="A2553" s="234"/>
      <c r="B2553" s="25"/>
      <c r="C2553" s="25"/>
      <c r="D2553" s="65"/>
      <c r="E2553" s="64"/>
      <c r="F2553" s="235"/>
    </row>
    <row r="2554" spans="1:7" ht="38.25" x14ac:dyDescent="0.2">
      <c r="A2554" s="234" t="s">
        <v>80</v>
      </c>
      <c r="B2554" s="20" t="s">
        <v>629</v>
      </c>
      <c r="C2554" s="25"/>
      <c r="D2554" s="65"/>
      <c r="E2554" s="25"/>
      <c r="F2554" s="235"/>
    </row>
    <row r="2555" spans="1:7" ht="63.75" x14ac:dyDescent="0.2">
      <c r="A2555" s="234"/>
      <c r="B2555" s="20" t="s">
        <v>630</v>
      </c>
      <c r="C2555" s="25"/>
      <c r="D2555" s="65"/>
      <c r="E2555" s="25"/>
      <c r="F2555" s="235"/>
    </row>
    <row r="2556" spans="1:7" ht="25.5" x14ac:dyDescent="0.2">
      <c r="A2556" s="115"/>
      <c r="B2556" s="171" t="s">
        <v>631</v>
      </c>
      <c r="C2556" s="151"/>
      <c r="D2556" s="332"/>
      <c r="E2556" s="151"/>
      <c r="F2556" s="292"/>
    </row>
    <row r="2557" spans="1:7" ht="25.5" x14ac:dyDescent="0.2">
      <c r="A2557" s="115"/>
      <c r="B2557" s="171" t="s">
        <v>632</v>
      </c>
      <c r="C2557" s="151"/>
      <c r="D2557" s="332"/>
      <c r="E2557" s="151"/>
      <c r="F2557" s="292"/>
    </row>
    <row r="2558" spans="1:7" ht="25.5" x14ac:dyDescent="0.2">
      <c r="A2558" s="115"/>
      <c r="B2558" s="171" t="s">
        <v>633</v>
      </c>
      <c r="C2558" s="151"/>
      <c r="D2558" s="332"/>
      <c r="E2558" s="151"/>
      <c r="F2558" s="292"/>
    </row>
    <row r="2559" spans="1:7" x14ac:dyDescent="0.2">
      <c r="A2559" s="115"/>
      <c r="B2559" s="172" t="s">
        <v>42</v>
      </c>
      <c r="C2559" s="151"/>
      <c r="D2559" s="332"/>
      <c r="E2559" s="151"/>
      <c r="F2559" s="292"/>
    </row>
    <row r="2560" spans="1:7" x14ac:dyDescent="0.2">
      <c r="A2560" s="115"/>
      <c r="B2560" s="151"/>
      <c r="C2560" s="151"/>
      <c r="D2560" s="332"/>
      <c r="E2560" s="151"/>
      <c r="F2560" s="292"/>
    </row>
    <row r="2561" spans="1:13" x14ac:dyDescent="0.2">
      <c r="A2561" s="115"/>
      <c r="B2561" s="173" t="s">
        <v>1119</v>
      </c>
      <c r="C2561" s="174" t="s">
        <v>39</v>
      </c>
      <c r="D2561" s="177">
        <f>18.5*152.95</f>
        <v>2829.5749999999998</v>
      </c>
      <c r="E2561" s="171"/>
      <c r="F2561" s="293">
        <f>D2561*E2561</f>
        <v>0</v>
      </c>
      <c r="G2561" s="10"/>
    </row>
    <row r="2562" spans="1:13" x14ac:dyDescent="0.2">
      <c r="A2562" s="115"/>
      <c r="B2562" s="151"/>
      <c r="C2562" s="151"/>
      <c r="D2562" s="332"/>
      <c r="E2562" s="151"/>
      <c r="F2562" s="292"/>
    </row>
    <row r="2563" spans="1:13" ht="51" x14ac:dyDescent="0.2">
      <c r="A2563" s="115" t="s">
        <v>81</v>
      </c>
      <c r="B2563" s="25" t="s">
        <v>634</v>
      </c>
      <c r="C2563" s="151"/>
      <c r="D2563" s="332"/>
      <c r="E2563" s="151"/>
      <c r="F2563" s="292"/>
    </row>
    <row r="2564" spans="1:13" ht="51" x14ac:dyDescent="0.2">
      <c r="A2564" s="115"/>
      <c r="B2564" s="25" t="s">
        <v>635</v>
      </c>
      <c r="C2564" s="151"/>
      <c r="D2564" s="332"/>
      <c r="E2564" s="151"/>
      <c r="F2564" s="292"/>
    </row>
    <row r="2565" spans="1:13" ht="51" x14ac:dyDescent="0.2">
      <c r="A2565" s="115"/>
      <c r="B2565" s="113" t="s">
        <v>172</v>
      </c>
      <c r="C2565" s="151"/>
      <c r="D2565" s="332"/>
      <c r="E2565" s="151"/>
      <c r="F2565" s="292"/>
    </row>
    <row r="2566" spans="1:13" ht="25.5" x14ac:dyDescent="0.2">
      <c r="A2566" s="115"/>
      <c r="B2566" s="33" t="s">
        <v>173</v>
      </c>
      <c r="C2566" s="151"/>
      <c r="D2566" s="332"/>
      <c r="E2566" s="151"/>
      <c r="F2566" s="292"/>
    </row>
    <row r="2567" spans="1:13" x14ac:dyDescent="0.2">
      <c r="A2567" s="115"/>
      <c r="B2567" s="16"/>
      <c r="C2567" s="151"/>
      <c r="D2567" s="332"/>
      <c r="E2567" s="151"/>
      <c r="F2567" s="292"/>
    </row>
    <row r="2568" spans="1:13" x14ac:dyDescent="0.2">
      <c r="A2568" s="115"/>
      <c r="B2568" s="15" t="s">
        <v>175</v>
      </c>
      <c r="C2568" s="151"/>
      <c r="D2568" s="332"/>
      <c r="E2568" s="151"/>
      <c r="F2568" s="292"/>
    </row>
    <row r="2569" spans="1:13" ht="25.5" x14ac:dyDescent="0.2">
      <c r="A2569" s="115"/>
      <c r="B2569" s="148" t="s">
        <v>1128</v>
      </c>
      <c r="C2569" s="151"/>
      <c r="D2569" s="456">
        <f>1.65*(9.93+6.89+4.8+4.55+30.2+32.5+14.6)</f>
        <v>170.72549999999998</v>
      </c>
      <c r="E2569" s="151"/>
      <c r="F2569" s="292"/>
    </row>
    <row r="2570" spans="1:13" x14ac:dyDescent="0.2">
      <c r="A2570" s="115"/>
      <c r="B2570" s="15"/>
      <c r="C2570" s="151"/>
      <c r="D2570" s="332"/>
      <c r="E2570" s="151"/>
      <c r="F2570" s="292"/>
    </row>
    <row r="2571" spans="1:13" x14ac:dyDescent="0.2">
      <c r="A2571" s="115"/>
      <c r="B2571" s="151" t="s">
        <v>604</v>
      </c>
      <c r="C2571" s="176"/>
      <c r="D2571" s="332"/>
      <c r="E2571" s="151"/>
      <c r="F2571" s="292"/>
    </row>
    <row r="2572" spans="1:13" x14ac:dyDescent="0.2">
      <c r="A2572" s="115"/>
      <c r="B2572" s="173" t="s">
        <v>28</v>
      </c>
      <c r="C2572" s="176"/>
      <c r="D2572" s="177"/>
      <c r="E2572" s="179"/>
      <c r="F2572" s="293">
        <f>D2572*E2572</f>
        <v>0</v>
      </c>
      <c r="G2572" s="98"/>
    </row>
    <row r="2573" spans="1:13" s="74" customFormat="1" ht="51" x14ac:dyDescent="0.2">
      <c r="A2573" s="115"/>
      <c r="B2573" s="228" t="s">
        <v>1681</v>
      </c>
      <c r="C2573" s="176"/>
      <c r="D2573" s="228">
        <f>0.3*((1.4*2+2.7)*5+1.1+1.99+1.03+2.73*2+1.03+1.98)+2.72*((0.3*2+0.8*2)*2+1.23+1.35+0.35)+(3*1.2+0.15*1.2*2+0.15*3*2)*4</f>
        <v>51.404600000000002</v>
      </c>
      <c r="E2573" s="151"/>
      <c r="F2573" s="292"/>
      <c r="H2573" s="8"/>
      <c r="I2573" s="8"/>
      <c r="J2573" s="8"/>
      <c r="K2573" s="8"/>
      <c r="L2573" s="8"/>
      <c r="M2573" s="8"/>
    </row>
    <row r="2574" spans="1:13" s="74" customFormat="1" x14ac:dyDescent="0.2">
      <c r="A2574" s="115"/>
      <c r="B2574" s="228"/>
      <c r="C2574" s="176"/>
      <c r="D2574" s="333"/>
      <c r="E2574" s="151"/>
      <c r="F2574" s="292"/>
      <c r="H2574" s="8"/>
      <c r="I2574" s="8"/>
      <c r="J2574" s="8"/>
      <c r="K2574" s="8"/>
      <c r="L2574" s="8"/>
      <c r="M2574" s="8"/>
    </row>
    <row r="2575" spans="1:13" s="74" customFormat="1" x14ac:dyDescent="0.2">
      <c r="A2575" s="115"/>
      <c r="B2575" s="228" t="s">
        <v>1125</v>
      </c>
      <c r="C2575" s="176"/>
      <c r="D2575" s="333"/>
      <c r="E2575" s="151"/>
      <c r="F2575" s="292"/>
      <c r="H2575" s="8"/>
      <c r="I2575" s="8"/>
      <c r="J2575" s="8"/>
      <c r="K2575" s="8"/>
      <c r="L2575" s="8"/>
      <c r="M2575" s="8"/>
    </row>
    <row r="2576" spans="1:13" s="74" customFormat="1" ht="51" x14ac:dyDescent="0.2">
      <c r="A2576" s="410"/>
      <c r="B2576" s="457" t="s">
        <v>1682</v>
      </c>
      <c r="C2576" s="458"/>
      <c r="D2576" s="457">
        <f>3*0.3*((1.4*2+2.7)*6+1.1+1.99+1.03+2.73*2+1.03+1.98)+3*2.72*((0.3*2+0.8*2)*2+1.23+1.35+0.35)+(3*1.2+0.15*1.2*2+0.15*3*2)*3</f>
        <v>115.4238</v>
      </c>
      <c r="E2576" s="411"/>
      <c r="F2576" s="412"/>
      <c r="H2576" s="8"/>
      <c r="I2576" s="8"/>
      <c r="J2576" s="8"/>
      <c r="K2576" s="8"/>
      <c r="L2576" s="8"/>
      <c r="M2576" s="8"/>
    </row>
    <row r="2577" spans="1:13" s="74" customFormat="1" x14ac:dyDescent="0.2">
      <c r="A2577" s="115"/>
      <c r="B2577" s="228"/>
      <c r="C2577" s="176"/>
      <c r="D2577" s="333"/>
      <c r="E2577" s="151"/>
      <c r="F2577" s="292"/>
      <c r="H2577" s="8"/>
      <c r="I2577" s="8"/>
      <c r="J2577" s="8"/>
      <c r="K2577" s="8"/>
      <c r="L2577" s="8"/>
      <c r="M2577" s="8"/>
    </row>
    <row r="2578" spans="1:13" x14ac:dyDescent="0.2">
      <c r="A2578" s="115"/>
      <c r="B2578" s="175" t="s">
        <v>776</v>
      </c>
      <c r="C2578" s="151"/>
      <c r="D2578" s="332"/>
      <c r="E2578" s="151"/>
      <c r="F2578" s="292"/>
    </row>
    <row r="2579" spans="1:13" ht="51" x14ac:dyDescent="0.2">
      <c r="A2579" s="115"/>
      <c r="B2579" s="228" t="s">
        <v>1683</v>
      </c>
      <c r="C2579" s="151"/>
      <c r="D2579" s="228">
        <f>0.3*((1.4*2+2.7)*6+1.1+1.99+1.03+2.73*2+1.03+1.98)+2.72*((0.3*2+0.8*2)*2+1.23+1.35+0.35)+(3*1.2+0.15*1.2*2+0.15*3*2)</f>
        <v>38.474600000000002</v>
      </c>
      <c r="E2579" s="151"/>
      <c r="F2579" s="292"/>
    </row>
    <row r="2580" spans="1:13" x14ac:dyDescent="0.2">
      <c r="A2580" s="115"/>
      <c r="B2580" s="173"/>
      <c r="C2580" s="151"/>
      <c r="D2580" s="332"/>
      <c r="E2580" s="151"/>
      <c r="F2580" s="292"/>
    </row>
    <row r="2581" spans="1:13" ht="25.5" x14ac:dyDescent="0.2">
      <c r="A2581" s="115"/>
      <c r="B2581" s="175" t="s">
        <v>637</v>
      </c>
      <c r="C2581" s="151"/>
      <c r="D2581" s="332"/>
      <c r="E2581" s="151"/>
      <c r="F2581" s="292"/>
    </row>
    <row r="2582" spans="1:13" ht="89.25" x14ac:dyDescent="0.2">
      <c r="A2582" s="115"/>
      <c r="B2582" s="26" t="s">
        <v>1006</v>
      </c>
      <c r="C2582" s="62"/>
      <c r="D2582" s="29">
        <f>(1.18+0.8)*(0.29*2+0.84*2+0.51*2+1.07*2+0.29*2+0.98*2+0.42*2+0.53*2+0.89*2+0.35*2+0.86*2*2+0.29*2*2)+(1.6+0.8)*(1.35*2+0.53*2+1.13*2+0.65*2+0.53*2+0.55*2+0.8*2+0.9*2+0.53*2+0.57*2+1.35*2+0.53*2+1.07*2+0.62*2+0.53*2+1.31*2)</f>
        <v>95.7012</v>
      </c>
      <c r="E2582" s="172"/>
      <c r="F2582" s="293">
        <f>E2582*D2582</f>
        <v>0</v>
      </c>
    </row>
    <row r="2583" spans="1:13" x14ac:dyDescent="0.2">
      <c r="A2583" s="116"/>
      <c r="B2583" s="172"/>
      <c r="C2583" s="176"/>
      <c r="D2583" s="177"/>
      <c r="E2583" s="151"/>
      <c r="F2583" s="292"/>
      <c r="H2583" s="74"/>
      <c r="I2583" s="78"/>
      <c r="J2583" s="91"/>
    </row>
    <row r="2584" spans="1:13" x14ac:dyDescent="0.2">
      <c r="A2584" s="116"/>
      <c r="B2584" s="24" t="s">
        <v>1679</v>
      </c>
      <c r="C2584" s="17"/>
      <c r="D2584" s="24"/>
      <c r="E2584" s="151"/>
      <c r="F2584" s="292"/>
      <c r="H2584" s="74"/>
      <c r="I2584" s="78"/>
      <c r="J2584" s="91"/>
    </row>
    <row r="2585" spans="1:13" ht="25.5" x14ac:dyDescent="0.2">
      <c r="A2585" s="116"/>
      <c r="B2585" s="173" t="s">
        <v>1680</v>
      </c>
      <c r="C2585" s="62"/>
      <c r="D2585" s="459">
        <f>(0.15*2+0.55*2)*8.67+(0.4*2+0.15*2)*3.44</f>
        <v>15.922000000000002</v>
      </c>
      <c r="E2585" s="151"/>
      <c r="F2585" s="292"/>
      <c r="H2585" s="74"/>
      <c r="I2585" s="78"/>
      <c r="J2585" s="91"/>
    </row>
    <row r="2586" spans="1:13" x14ac:dyDescent="0.2">
      <c r="A2586" s="116"/>
      <c r="B2586" s="172"/>
      <c r="C2586" s="176"/>
      <c r="D2586" s="177"/>
      <c r="E2586" s="151"/>
      <c r="F2586" s="292"/>
      <c r="H2586" s="74"/>
      <c r="I2586" s="78"/>
      <c r="J2586" s="91"/>
    </row>
    <row r="2587" spans="1:13" x14ac:dyDescent="0.2">
      <c r="A2587" s="115"/>
      <c r="B2587" s="151" t="s">
        <v>184</v>
      </c>
      <c r="C2587" s="178" t="s">
        <v>39</v>
      </c>
      <c r="D2587" s="177">
        <f>SUM(D2569:D2586)</f>
        <v>487.65170000000001</v>
      </c>
      <c r="E2587" s="179"/>
      <c r="F2587" s="293">
        <f>D2587*E2587</f>
        <v>0</v>
      </c>
      <c r="G2587" s="98"/>
      <c r="H2587" s="11"/>
      <c r="I2587" s="74"/>
      <c r="J2587" s="75"/>
    </row>
    <row r="2588" spans="1:13" x14ac:dyDescent="0.2">
      <c r="A2588" s="115"/>
      <c r="B2588" s="153"/>
      <c r="C2588" s="151"/>
      <c r="D2588" s="332"/>
      <c r="E2588" s="151"/>
      <c r="F2588" s="292"/>
      <c r="H2588" s="74"/>
      <c r="I2588" s="74"/>
      <c r="J2588" s="74"/>
      <c r="K2588" s="74"/>
      <c r="L2588" s="74"/>
      <c r="M2588" s="74"/>
    </row>
    <row r="2589" spans="1:13" ht="51" x14ac:dyDescent="0.2">
      <c r="A2589" s="117" t="s">
        <v>157</v>
      </c>
      <c r="B2589" s="166" t="s">
        <v>636</v>
      </c>
      <c r="C2589" s="460"/>
      <c r="D2589" s="461"/>
      <c r="E2589" s="461"/>
      <c r="F2589" s="294"/>
      <c r="G2589" s="130"/>
    </row>
    <row r="2590" spans="1:13" ht="25.5" x14ac:dyDescent="0.2">
      <c r="A2590" s="118"/>
      <c r="B2590" s="81" t="s">
        <v>433</v>
      </c>
      <c r="C2590" s="226"/>
      <c r="D2590" s="154"/>
      <c r="E2590" s="154"/>
      <c r="F2590" s="294"/>
      <c r="G2590" s="130"/>
    </row>
    <row r="2591" spans="1:13" ht="127.5" x14ac:dyDescent="0.2">
      <c r="A2591" s="118"/>
      <c r="B2591" s="81" t="s">
        <v>434</v>
      </c>
      <c r="C2591" s="226"/>
      <c r="D2591" s="154"/>
      <c r="E2591" s="154"/>
      <c r="F2591" s="294"/>
      <c r="G2591" s="130"/>
    </row>
    <row r="2592" spans="1:13" ht="63.75" x14ac:dyDescent="0.2">
      <c r="A2592" s="118"/>
      <c r="B2592" s="74" t="s">
        <v>435</v>
      </c>
      <c r="C2592" s="226"/>
      <c r="D2592" s="154"/>
      <c r="E2592" s="154"/>
      <c r="F2592" s="294"/>
      <c r="G2592" s="130"/>
      <c r="H2592" s="91"/>
      <c r="I2592" s="78"/>
      <c r="J2592" s="66"/>
    </row>
    <row r="2593" spans="1:13" ht="25.5" x14ac:dyDescent="0.2">
      <c r="A2593" s="118"/>
      <c r="B2593" s="166" t="s">
        <v>120</v>
      </c>
      <c r="C2593" s="226"/>
      <c r="D2593" s="154"/>
      <c r="E2593" s="154"/>
      <c r="F2593" s="294"/>
      <c r="G2593" s="130"/>
      <c r="H2593" s="91"/>
      <c r="I2593" s="78"/>
      <c r="J2593" s="66"/>
    </row>
    <row r="2594" spans="1:13" ht="12.75" customHeight="1" x14ac:dyDescent="0.2">
      <c r="A2594" s="118"/>
      <c r="B2594" s="170" t="s">
        <v>42</v>
      </c>
      <c r="C2594" s="226"/>
      <c r="D2594" s="154"/>
      <c r="E2594" s="154"/>
      <c r="F2594" s="294"/>
      <c r="G2594" s="130"/>
      <c r="H2594" s="91"/>
      <c r="I2594" s="78"/>
      <c r="J2594" s="66"/>
    </row>
    <row r="2595" spans="1:13" s="74" customFormat="1" x14ac:dyDescent="0.2">
      <c r="A2595" s="118"/>
      <c r="B2595" s="227"/>
      <c r="C2595" s="226"/>
      <c r="D2595" s="154"/>
      <c r="E2595" s="154"/>
      <c r="F2595" s="294"/>
      <c r="G2595" s="130"/>
      <c r="H2595" s="91"/>
      <c r="I2595" s="78"/>
      <c r="J2595" s="91"/>
    </row>
    <row r="2596" spans="1:13" s="74" customFormat="1" x14ac:dyDescent="0.2">
      <c r="A2596" s="118"/>
      <c r="B2596" s="15" t="s">
        <v>175</v>
      </c>
      <c r="C2596" s="151"/>
      <c r="D2596" s="332"/>
      <c r="E2596" s="154"/>
      <c r="F2596" s="294"/>
      <c r="G2596" s="130"/>
      <c r="H2596" s="91"/>
      <c r="I2596" s="78"/>
      <c r="J2596" s="91"/>
    </row>
    <row r="2597" spans="1:13" s="74" customFormat="1" ht="25.5" x14ac:dyDescent="0.2">
      <c r="A2597" s="413"/>
      <c r="B2597" s="414" t="s">
        <v>1128</v>
      </c>
      <c r="C2597" s="411"/>
      <c r="D2597" s="415">
        <f>1.65*(9.93+6.89+4.8+4.55+30.2+32.5+14.6)</f>
        <v>170.72549999999998</v>
      </c>
      <c r="E2597" s="416"/>
      <c r="F2597" s="417"/>
      <c r="G2597" s="130"/>
      <c r="H2597" s="91"/>
      <c r="I2597" s="78"/>
      <c r="J2597" s="91"/>
    </row>
    <row r="2598" spans="1:13" s="74" customFormat="1" x14ac:dyDescent="0.2">
      <c r="A2598" s="118"/>
      <c r="B2598" s="227"/>
      <c r="C2598" s="226"/>
      <c r="D2598" s="154"/>
      <c r="E2598" s="154"/>
      <c r="F2598" s="294"/>
      <c r="G2598" s="130"/>
      <c r="H2598" s="91"/>
      <c r="I2598" s="78"/>
      <c r="J2598" s="91"/>
    </row>
    <row r="2599" spans="1:13" x14ac:dyDescent="0.2">
      <c r="A2599" s="115"/>
      <c r="B2599" s="151" t="s">
        <v>604</v>
      </c>
      <c r="C2599" s="176"/>
      <c r="D2599" s="332"/>
      <c r="E2599" s="151"/>
      <c r="F2599" s="292"/>
      <c r="H2599" s="91"/>
      <c r="I2599" s="78"/>
      <c r="J2599" s="66"/>
    </row>
    <row r="2600" spans="1:13" x14ac:dyDescent="0.2">
      <c r="A2600" s="115"/>
      <c r="B2600" s="173" t="s">
        <v>28</v>
      </c>
      <c r="C2600" s="176"/>
      <c r="D2600" s="177"/>
      <c r="E2600" s="151"/>
      <c r="F2600" s="254"/>
      <c r="G2600" s="138"/>
      <c r="H2600" s="91"/>
      <c r="I2600" s="78"/>
      <c r="J2600" s="91"/>
    </row>
    <row r="2601" spans="1:13" ht="51" x14ac:dyDescent="0.2">
      <c r="A2601" s="115"/>
      <c r="B2601" s="228" t="s">
        <v>1129</v>
      </c>
      <c r="C2601" s="176"/>
      <c r="D2601" s="333">
        <f>0.3*((1.4*2+2.7)*5+1.1+1.99+1.03+2.73*2+1.03+1.98)+2.72*((0.3*2+0.8*2)*2+1.23+1.35+0.35)+0.85*2+(2.8*4+1.4*2*4)</f>
        <v>56.064600000000006</v>
      </c>
      <c r="E2601" s="151"/>
      <c r="F2601" s="254"/>
      <c r="G2601" s="10"/>
      <c r="K2601" s="74"/>
      <c r="L2601" s="74"/>
      <c r="M2601" s="74"/>
    </row>
    <row r="2602" spans="1:13" x14ac:dyDescent="0.2">
      <c r="A2602" s="115"/>
      <c r="B2602" s="228"/>
      <c r="C2602" s="176"/>
      <c r="D2602" s="333"/>
      <c r="E2602" s="151"/>
      <c r="F2602" s="254"/>
      <c r="G2602" s="11"/>
    </row>
    <row r="2603" spans="1:13" x14ac:dyDescent="0.2">
      <c r="A2603" s="115"/>
      <c r="B2603" s="228" t="s">
        <v>1125</v>
      </c>
      <c r="C2603" s="176"/>
      <c r="D2603" s="333"/>
      <c r="E2603" s="151"/>
      <c r="F2603" s="254"/>
      <c r="G2603" s="66"/>
    </row>
    <row r="2604" spans="1:13" ht="51" x14ac:dyDescent="0.2">
      <c r="A2604" s="115"/>
      <c r="B2604" s="228" t="s">
        <v>1130</v>
      </c>
      <c r="C2604" s="176"/>
      <c r="D2604" s="333">
        <f>3*0.3*((1.4*2+2.7)*6+1.1+1.99+1.03+2.73*2+1.03+1.98)+3*2.72*((0.3*2+0.8*2)*2+1.23+1.35+0.35)+3*2*(2.8+1.4*2)</f>
        <v>134.44380000000001</v>
      </c>
      <c r="E2604" s="151"/>
      <c r="F2604" s="254"/>
      <c r="G2604" s="66"/>
    </row>
    <row r="2605" spans="1:13" x14ac:dyDescent="0.2">
      <c r="A2605" s="115"/>
      <c r="B2605" s="228"/>
      <c r="C2605" s="176"/>
      <c r="D2605" s="333"/>
      <c r="E2605" s="172"/>
      <c r="F2605" s="295"/>
      <c r="G2605" s="11"/>
    </row>
    <row r="2606" spans="1:13" x14ac:dyDescent="0.2">
      <c r="A2606" s="115"/>
      <c r="B2606" s="175" t="s">
        <v>776</v>
      </c>
      <c r="C2606" s="151"/>
      <c r="D2606" s="332"/>
      <c r="E2606" s="172"/>
      <c r="F2606" s="295"/>
      <c r="G2606" s="11"/>
    </row>
    <row r="2607" spans="1:13" ht="38.25" x14ac:dyDescent="0.2">
      <c r="A2607" s="115"/>
      <c r="B2607" s="228" t="s">
        <v>1131</v>
      </c>
      <c r="C2607" s="151"/>
      <c r="D2607" s="333">
        <f>0.3*((1.4*2+2.7)*6+1.1+1.99+1.03+2.73*2+1.03+1.98)+2.72*((0.3*2+0.8*2)*2+1.23+1.35+0.35)+2*(2.8+1.4*2)</f>
        <v>44.814599999999999</v>
      </c>
      <c r="E2607" s="172"/>
      <c r="F2607" s="295"/>
      <c r="G2607" s="11"/>
      <c r="H2607" s="74"/>
      <c r="I2607" s="74"/>
      <c r="J2607" s="74"/>
    </row>
    <row r="2608" spans="1:13" x14ac:dyDescent="0.2">
      <c r="A2608" s="115"/>
      <c r="B2608" s="173"/>
      <c r="C2608" s="151"/>
      <c r="D2608" s="332"/>
      <c r="E2608" s="172"/>
      <c r="F2608" s="295"/>
      <c r="G2608" s="11"/>
      <c r="H2608" s="74"/>
      <c r="I2608" s="74"/>
      <c r="J2608" s="74"/>
    </row>
    <row r="2609" spans="1:10" ht="25.5" x14ac:dyDescent="0.2">
      <c r="A2609" s="115"/>
      <c r="B2609" s="175" t="s">
        <v>1517</v>
      </c>
      <c r="C2609" s="151"/>
      <c r="D2609" s="332"/>
      <c r="E2609" s="172"/>
      <c r="F2609" s="295"/>
      <c r="G2609" s="11"/>
      <c r="H2609" s="74"/>
      <c r="I2609" s="74"/>
      <c r="J2609" s="74"/>
    </row>
    <row r="2610" spans="1:10" ht="89.25" x14ac:dyDescent="0.2">
      <c r="A2610" s="115"/>
      <c r="B2610" s="26" t="s">
        <v>1006</v>
      </c>
      <c r="C2610" s="62"/>
      <c r="D2610" s="29">
        <f>(1.18+0.8)*(0.29*2+0.84*2+0.51*2+1.07*2+0.29*2+0.98*2+0.42*2+0.53*2+0.89*2+0.35*2+0.86*2*2+0.29*2*2)+(1.6+0.8)*(1.35*2+0.53*2+1.13*2+0.65*2+0.53*2+0.55*2+0.8*2+0.9*2+0.53*2+0.57*2+1.35*2+0.53*2+1.07*2+0.62*2+0.53*2+1.31*2)</f>
        <v>95.7012</v>
      </c>
      <c r="E2610" s="172"/>
      <c r="F2610" s="295"/>
      <c r="G2610" s="11"/>
      <c r="H2610" s="74"/>
      <c r="I2610" s="74"/>
      <c r="J2610" s="74"/>
    </row>
    <row r="2611" spans="1:10" x14ac:dyDescent="0.2">
      <c r="A2611" s="115"/>
      <c r="B2611" s="26"/>
      <c r="C2611" s="62"/>
      <c r="D2611" s="29"/>
      <c r="E2611" s="172"/>
      <c r="F2611" s="295"/>
      <c r="G2611" s="11"/>
      <c r="H2611" s="74"/>
      <c r="I2611" s="74"/>
      <c r="J2611" s="74"/>
    </row>
    <row r="2612" spans="1:10" x14ac:dyDescent="0.2">
      <c r="A2612" s="115"/>
      <c r="B2612" s="26" t="s">
        <v>1606</v>
      </c>
      <c r="C2612" s="62"/>
      <c r="D2612" s="29"/>
      <c r="E2612" s="172"/>
      <c r="F2612" s="295"/>
      <c r="G2612" s="11"/>
      <c r="H2612" s="74"/>
      <c r="I2612" s="74"/>
      <c r="J2612" s="74"/>
    </row>
    <row r="2613" spans="1:10" x14ac:dyDescent="0.2">
      <c r="A2613" s="115"/>
      <c r="B2613" s="26" t="s">
        <v>28</v>
      </c>
      <c r="C2613" s="62"/>
      <c r="D2613" s="29"/>
      <c r="E2613" s="172"/>
      <c r="F2613" s="295"/>
      <c r="G2613" s="11"/>
      <c r="H2613" s="74"/>
      <c r="I2613" s="74"/>
      <c r="J2613" s="74"/>
    </row>
    <row r="2614" spans="1:10" ht="51" x14ac:dyDescent="0.2">
      <c r="A2614" s="115"/>
      <c r="B2614" s="26" t="s">
        <v>875</v>
      </c>
      <c r="C2614" s="62"/>
      <c r="D2614" s="29">
        <f>5.87+4.33+11.56+11.41+1.24+1.59+3.25+20.34+4.36+4.18+12.68+3.22+22.85+4.67+4.69+2.5+21.45+4.37+4.13+11.61+11.23+1.24+1.57+14.25</f>
        <v>188.59</v>
      </c>
      <c r="E2614" s="172"/>
      <c r="F2614" s="295"/>
      <c r="G2614" s="11"/>
      <c r="H2614" s="74"/>
      <c r="I2614" s="74"/>
      <c r="J2614" s="74"/>
    </row>
    <row r="2615" spans="1:10" x14ac:dyDescent="0.2">
      <c r="A2615" s="115"/>
      <c r="B2615" s="26"/>
      <c r="C2615" s="62"/>
      <c r="D2615" s="29"/>
      <c r="E2615" s="172"/>
      <c r="F2615" s="295"/>
      <c r="G2615" s="11"/>
      <c r="H2615" s="74"/>
      <c r="I2615" s="74"/>
      <c r="J2615" s="74"/>
    </row>
    <row r="2616" spans="1:10" x14ac:dyDescent="0.2">
      <c r="A2616" s="115"/>
      <c r="B2616" s="26" t="s">
        <v>746</v>
      </c>
      <c r="C2616" s="62"/>
      <c r="D2616" s="29"/>
      <c r="E2616" s="172"/>
      <c r="F2616" s="295"/>
      <c r="G2616" s="11"/>
      <c r="H2616" s="74"/>
      <c r="I2616" s="74"/>
      <c r="J2616" s="74"/>
    </row>
    <row r="2617" spans="1:10" x14ac:dyDescent="0.2">
      <c r="A2617" s="115"/>
      <c r="B2617" s="26" t="s">
        <v>887</v>
      </c>
      <c r="C2617" s="62"/>
      <c r="D2617" s="29">
        <f>3.45*(3.05+4.52)</f>
        <v>26.116499999999998</v>
      </c>
      <c r="E2617" s="172"/>
      <c r="F2617" s="295"/>
      <c r="G2617" s="11"/>
      <c r="H2617" s="74"/>
      <c r="I2617" s="74"/>
      <c r="J2617" s="74"/>
    </row>
    <row r="2618" spans="1:10" x14ac:dyDescent="0.2">
      <c r="A2618" s="115"/>
      <c r="B2618" s="26"/>
      <c r="C2618" s="62"/>
      <c r="D2618" s="29"/>
      <c r="E2618" s="172"/>
      <c r="F2618" s="295"/>
      <c r="G2618" s="11"/>
      <c r="H2618" s="74"/>
      <c r="I2618" s="74"/>
      <c r="J2618" s="74"/>
    </row>
    <row r="2619" spans="1:10" x14ac:dyDescent="0.2">
      <c r="A2619" s="115"/>
      <c r="B2619" s="26" t="s">
        <v>1677</v>
      </c>
      <c r="C2619" s="62"/>
      <c r="D2619" s="29"/>
      <c r="E2619" s="172"/>
      <c r="F2619" s="295"/>
      <c r="G2619" s="11"/>
      <c r="H2619" s="74"/>
      <c r="I2619" s="74"/>
      <c r="J2619" s="74"/>
    </row>
    <row r="2620" spans="1:10" ht="25.5" x14ac:dyDescent="0.2">
      <c r="A2620" s="115"/>
      <c r="B2620" s="173" t="s">
        <v>1678</v>
      </c>
      <c r="C2620" s="62"/>
      <c r="D2620" s="462">
        <f>(0.15*2+0.55*2)*8.61+(0.4*2+0.15*2)*3.44</f>
        <v>15.838000000000001</v>
      </c>
      <c r="E2620" s="172"/>
      <c r="F2620" s="295"/>
      <c r="G2620" s="11"/>
      <c r="H2620" s="74"/>
      <c r="I2620" s="74"/>
      <c r="J2620" s="74"/>
    </row>
    <row r="2621" spans="1:10" x14ac:dyDescent="0.2">
      <c r="A2621" s="115"/>
      <c r="B2621" s="26"/>
      <c r="C2621" s="62"/>
      <c r="D2621" s="29"/>
      <c r="E2621" s="172"/>
      <c r="F2621" s="295"/>
      <c r="G2621" s="11"/>
      <c r="H2621" s="74"/>
      <c r="I2621" s="74"/>
      <c r="J2621" s="74"/>
    </row>
    <row r="2622" spans="1:10" x14ac:dyDescent="0.2">
      <c r="A2622" s="115"/>
      <c r="B2622" s="26" t="s">
        <v>657</v>
      </c>
      <c r="C2622" s="62" t="s">
        <v>39</v>
      </c>
      <c r="D2622" s="29">
        <f>SUM(D2596:D2621)</f>
        <v>732.29419999999993</v>
      </c>
      <c r="E2622" s="172"/>
      <c r="F2622" s="295">
        <f>D2622*E2622</f>
        <v>0</v>
      </c>
      <c r="G2622" s="11"/>
      <c r="H2622" s="74"/>
      <c r="I2622" s="74"/>
      <c r="J2622" s="74"/>
    </row>
    <row r="2623" spans="1:10" x14ac:dyDescent="0.2">
      <c r="A2623" s="115"/>
      <c r="B2623" s="26"/>
      <c r="C2623" s="62"/>
      <c r="D2623" s="29"/>
      <c r="E2623" s="172"/>
      <c r="F2623" s="295"/>
      <c r="G2623" s="11"/>
      <c r="H2623" s="74"/>
      <c r="I2623" s="74"/>
      <c r="J2623" s="74"/>
    </row>
    <row r="2624" spans="1:10" ht="51" x14ac:dyDescent="0.2">
      <c r="A2624" s="410" t="s">
        <v>119</v>
      </c>
      <c r="B2624" s="464" t="s">
        <v>1700</v>
      </c>
      <c r="C2624" s="341"/>
      <c r="D2624" s="342"/>
      <c r="E2624" s="430"/>
      <c r="F2624" s="431"/>
      <c r="G2624" s="11"/>
      <c r="H2624" s="74"/>
      <c r="I2624" s="74"/>
      <c r="J2624" s="74"/>
    </row>
    <row r="2625" spans="1:10" x14ac:dyDescent="0.2">
      <c r="A2625" s="115"/>
      <c r="B2625" s="26"/>
      <c r="C2625" s="62"/>
      <c r="D2625" s="29"/>
      <c r="E2625" s="172"/>
      <c r="F2625" s="295"/>
      <c r="G2625" s="11"/>
      <c r="H2625" s="74"/>
      <c r="I2625" s="74"/>
      <c r="J2625" s="74"/>
    </row>
    <row r="2626" spans="1:10" ht="38.25" x14ac:dyDescent="0.2">
      <c r="A2626" s="115"/>
      <c r="B2626" s="26" t="s">
        <v>1608</v>
      </c>
      <c r="C2626" s="62"/>
      <c r="D2626" s="29"/>
      <c r="E2626" s="172"/>
      <c r="F2626" s="295"/>
      <c r="G2626" s="11"/>
      <c r="H2626" s="74"/>
      <c r="I2626" s="74"/>
      <c r="J2626" s="74"/>
    </row>
    <row r="2627" spans="1:10" x14ac:dyDescent="0.2">
      <c r="A2627" s="115"/>
      <c r="B2627" s="26" t="s">
        <v>42</v>
      </c>
      <c r="C2627" s="62"/>
      <c r="D2627" s="29"/>
      <c r="E2627" s="172"/>
      <c r="F2627" s="295"/>
      <c r="G2627" s="11"/>
      <c r="H2627" s="74"/>
      <c r="I2627" s="74"/>
      <c r="J2627" s="74"/>
    </row>
    <row r="2628" spans="1:10" x14ac:dyDescent="0.2">
      <c r="A2628" s="115"/>
      <c r="B2628" s="26"/>
      <c r="C2628" s="62"/>
      <c r="D2628" s="29"/>
      <c r="E2628" s="172"/>
      <c r="F2628" s="295"/>
      <c r="G2628" s="11"/>
      <c r="H2628" s="74"/>
      <c r="I2628" s="74"/>
      <c r="J2628" s="74"/>
    </row>
    <row r="2629" spans="1:10" x14ac:dyDescent="0.2">
      <c r="A2629" s="234"/>
      <c r="B2629" s="24" t="s">
        <v>1609</v>
      </c>
      <c r="C2629" s="17"/>
      <c r="D2629" s="52"/>
      <c r="E2629" s="130"/>
      <c r="F2629" s="249"/>
      <c r="G2629" s="130"/>
      <c r="H2629" s="74"/>
      <c r="I2629" s="74"/>
      <c r="J2629" s="74"/>
    </row>
    <row r="2630" spans="1:10" ht="25.5" x14ac:dyDescent="0.2">
      <c r="A2630" s="234"/>
      <c r="B2630" s="24" t="s">
        <v>1610</v>
      </c>
      <c r="C2630" s="17"/>
      <c r="D2630" s="24">
        <f>2.5*(4.75*16+2.67+3+4.9+2.15+5.15+5.75+0.85*2+0.62*2+0.2*7)</f>
        <v>259.90000000000003</v>
      </c>
      <c r="E2630" s="130"/>
      <c r="F2630" s="249"/>
      <c r="G2630" s="130"/>
      <c r="H2630" s="74"/>
      <c r="I2630" s="74"/>
      <c r="J2630" s="74"/>
    </row>
    <row r="2631" spans="1:10" x14ac:dyDescent="0.2">
      <c r="A2631" s="234"/>
      <c r="B2631" s="24"/>
      <c r="C2631" s="17"/>
      <c r="D2631" s="24"/>
      <c r="E2631" s="130"/>
      <c r="F2631" s="249"/>
      <c r="G2631" s="130"/>
      <c r="H2631" s="74"/>
      <c r="I2631" s="74"/>
      <c r="J2631" s="74"/>
    </row>
    <row r="2632" spans="1:10" x14ac:dyDescent="0.2">
      <c r="A2632" s="234"/>
      <c r="B2632" s="24" t="s">
        <v>1238</v>
      </c>
      <c r="C2632" s="17"/>
      <c r="D2632" s="52"/>
      <c r="E2632" s="130"/>
      <c r="F2632" s="249"/>
      <c r="G2632" s="130"/>
      <c r="H2632" s="130">
        <f>1440/120</f>
        <v>12</v>
      </c>
      <c r="I2632" s="74"/>
      <c r="J2632" s="74"/>
    </row>
    <row r="2633" spans="1:10" ht="25.5" x14ac:dyDescent="0.2">
      <c r="A2633" s="234"/>
      <c r="B2633" s="24" t="s">
        <v>1611</v>
      </c>
      <c r="C2633" s="17"/>
      <c r="D2633" s="24">
        <f>(0.45+0.8)/2*3.1+0.45*1.52+0.8*1.52</f>
        <v>3.8375000000000004</v>
      </c>
      <c r="E2633" s="130"/>
      <c r="F2633" s="249"/>
      <c r="G2633" s="130"/>
      <c r="H2633" s="74"/>
      <c r="I2633" s="74"/>
      <c r="J2633" s="74"/>
    </row>
    <row r="2634" spans="1:10" x14ac:dyDescent="0.2">
      <c r="A2634" s="234"/>
      <c r="B2634" s="24"/>
      <c r="C2634" s="17"/>
      <c r="D2634" s="24"/>
      <c r="E2634" s="130"/>
      <c r="F2634" s="249"/>
      <c r="G2634" s="130"/>
      <c r="H2634" s="74"/>
      <c r="I2634" s="74"/>
      <c r="J2634" s="74"/>
    </row>
    <row r="2635" spans="1:10" x14ac:dyDescent="0.2">
      <c r="A2635" s="234"/>
      <c r="B2635" s="24" t="s">
        <v>1675</v>
      </c>
      <c r="C2635" s="17"/>
      <c r="D2635" s="24"/>
      <c r="E2635" s="130"/>
      <c r="F2635" s="249"/>
      <c r="G2635" s="130"/>
      <c r="H2635" s="74"/>
      <c r="I2635" s="74"/>
      <c r="J2635" s="74"/>
    </row>
    <row r="2636" spans="1:10" x14ac:dyDescent="0.2">
      <c r="A2636" s="234"/>
      <c r="B2636" s="24" t="s">
        <v>1676</v>
      </c>
      <c r="C2636" s="17"/>
      <c r="D2636" s="24">
        <f>0.9*1.9/2*2*2</f>
        <v>3.42</v>
      </c>
      <c r="E2636" s="130"/>
      <c r="F2636" s="249"/>
      <c r="G2636" s="130"/>
      <c r="H2636" s="74"/>
      <c r="I2636" s="74"/>
      <c r="J2636" s="74"/>
    </row>
    <row r="2637" spans="1:10" x14ac:dyDescent="0.2">
      <c r="A2637" s="234"/>
      <c r="B2637" s="24"/>
      <c r="C2637" s="17"/>
      <c r="D2637" s="52"/>
      <c r="E2637" s="130"/>
      <c r="F2637" s="249"/>
      <c r="G2637" s="130"/>
      <c r="H2637" s="74"/>
      <c r="I2637" s="74"/>
      <c r="J2637" s="74"/>
    </row>
    <row r="2638" spans="1:10" x14ac:dyDescent="0.2">
      <c r="A2638" s="234"/>
      <c r="B2638" s="24" t="s">
        <v>281</v>
      </c>
      <c r="C2638" s="17" t="s">
        <v>39</v>
      </c>
      <c r="D2638" s="52">
        <f>SUM(D2630:D2637)</f>
        <v>267.15750000000003</v>
      </c>
      <c r="E2638" s="130"/>
      <c r="F2638" s="249">
        <f>E2638*D2638</f>
        <v>0</v>
      </c>
      <c r="G2638" s="130"/>
      <c r="H2638" s="74"/>
      <c r="I2638" s="74"/>
      <c r="J2638" s="74"/>
    </row>
    <row r="2639" spans="1:10" ht="13.5" thickBot="1" x14ac:dyDescent="0.25">
      <c r="A2639" s="296"/>
      <c r="B2639" s="97"/>
      <c r="C2639" s="84"/>
      <c r="D2639" s="88"/>
      <c r="E2639" s="85"/>
      <c r="F2639" s="297"/>
      <c r="G2639" s="11"/>
    </row>
    <row r="2640" spans="1:10" ht="15.75" thickBot="1" x14ac:dyDescent="0.25">
      <c r="A2640" s="261" t="str">
        <f>A2552</f>
        <v>15.</v>
      </c>
      <c r="B2640" s="49" t="s">
        <v>0</v>
      </c>
      <c r="C2640" s="50"/>
      <c r="D2640" s="324"/>
      <c r="E2640" s="51"/>
      <c r="F2640" s="244">
        <f>SUM(F2554:F2639)</f>
        <v>0</v>
      </c>
      <c r="G2640" s="198"/>
    </row>
    <row r="2641" spans="1:10" ht="15.75" thickBot="1" x14ac:dyDescent="0.25">
      <c r="A2641" s="262" t="s">
        <v>88</v>
      </c>
      <c r="B2641" s="57" t="s">
        <v>22</v>
      </c>
      <c r="C2641" s="58"/>
      <c r="D2641" s="325"/>
      <c r="E2641" s="59"/>
      <c r="F2641" s="263"/>
      <c r="G2641" s="198"/>
    </row>
    <row r="2642" spans="1:10" x14ac:dyDescent="0.2">
      <c r="A2642" s="234"/>
      <c r="B2642" s="25"/>
      <c r="C2642" s="25"/>
      <c r="D2642" s="65"/>
      <c r="E2642" s="64"/>
      <c r="F2642" s="235"/>
      <c r="H2642" s="74"/>
      <c r="I2642" s="74"/>
      <c r="J2642" s="74"/>
    </row>
    <row r="2643" spans="1:10" ht="76.5" x14ac:dyDescent="0.2">
      <c r="A2643" s="234" t="s">
        <v>89</v>
      </c>
      <c r="B2643" s="30" t="s">
        <v>1295</v>
      </c>
      <c r="C2643" s="39"/>
      <c r="D2643" s="18"/>
      <c r="E2643" s="18"/>
      <c r="F2643" s="255"/>
      <c r="G2643" s="105"/>
      <c r="H2643" s="74"/>
      <c r="I2643" s="74"/>
      <c r="J2643" s="74"/>
    </row>
    <row r="2644" spans="1:10" ht="63.75" x14ac:dyDescent="0.2">
      <c r="A2644" s="234"/>
      <c r="B2644" s="30" t="s">
        <v>1293</v>
      </c>
      <c r="C2644" s="39"/>
      <c r="D2644" s="18"/>
      <c r="E2644" s="18"/>
      <c r="F2644" s="255"/>
      <c r="G2644" s="105"/>
      <c r="H2644" s="74"/>
      <c r="I2644" s="74"/>
      <c r="J2644" s="74"/>
    </row>
    <row r="2645" spans="1:10" ht="25.5" x14ac:dyDescent="0.2">
      <c r="A2645" s="234"/>
      <c r="B2645" s="30" t="s">
        <v>120</v>
      </c>
      <c r="C2645" s="39"/>
      <c r="D2645" s="18"/>
      <c r="E2645" s="18"/>
      <c r="F2645" s="255"/>
      <c r="G2645" s="105"/>
      <c r="H2645" s="74"/>
      <c r="I2645" s="74"/>
      <c r="J2645" s="74"/>
    </row>
    <row r="2646" spans="1:10" x14ac:dyDescent="0.2">
      <c r="A2646" s="234"/>
      <c r="B2646" s="30" t="s">
        <v>1292</v>
      </c>
      <c r="C2646" s="39"/>
      <c r="D2646" s="18"/>
      <c r="E2646" s="18"/>
      <c r="F2646" s="255"/>
      <c r="G2646" s="105"/>
      <c r="H2646" s="74"/>
      <c r="I2646" s="74"/>
      <c r="J2646" s="74"/>
    </row>
    <row r="2647" spans="1:10" x14ac:dyDescent="0.2">
      <c r="A2647" s="234"/>
      <c r="B2647" s="30"/>
      <c r="C2647" s="39"/>
      <c r="D2647" s="18"/>
      <c r="E2647" s="18"/>
      <c r="F2647" s="255"/>
      <c r="G2647" s="105"/>
      <c r="H2647" s="74"/>
      <c r="I2647" s="74"/>
      <c r="J2647" s="74"/>
    </row>
    <row r="2648" spans="1:10" ht="25.5" x14ac:dyDescent="0.2">
      <c r="A2648" s="234"/>
      <c r="B2648" s="30" t="s">
        <v>1294</v>
      </c>
      <c r="C2648" s="39"/>
      <c r="D2648" s="18"/>
      <c r="E2648" s="18"/>
      <c r="F2648" s="255"/>
      <c r="G2648" s="105"/>
      <c r="H2648" s="74"/>
      <c r="I2648" s="74"/>
      <c r="J2648" s="74"/>
    </row>
    <row r="2649" spans="1:10" x14ac:dyDescent="0.2">
      <c r="A2649" s="234"/>
      <c r="B2649" s="30"/>
      <c r="C2649" s="39"/>
      <c r="D2649" s="18"/>
      <c r="E2649" s="18"/>
      <c r="F2649" s="255"/>
      <c r="G2649" s="105"/>
      <c r="H2649" s="74"/>
      <c r="I2649" s="74"/>
      <c r="J2649" s="74"/>
    </row>
    <row r="2650" spans="1:10" ht="25.5" x14ac:dyDescent="0.2">
      <c r="A2650" s="234"/>
      <c r="B2650" s="30" t="s">
        <v>1296</v>
      </c>
      <c r="C2650" s="39"/>
      <c r="D2650" s="312"/>
      <c r="E2650" s="18"/>
      <c r="F2650" s="255"/>
      <c r="G2650" s="105"/>
      <c r="H2650" s="74"/>
      <c r="I2650" s="74"/>
      <c r="J2650" s="74"/>
    </row>
    <row r="2651" spans="1:10" x14ac:dyDescent="0.2">
      <c r="A2651" s="234"/>
      <c r="B2651" s="313" t="s">
        <v>1707</v>
      </c>
      <c r="C2651" s="39" t="s">
        <v>40</v>
      </c>
      <c r="D2651" s="312">
        <f>5*8.4</f>
        <v>42</v>
      </c>
      <c r="E2651" s="18"/>
      <c r="F2651" s="249">
        <f>E2651*D2651</f>
        <v>0</v>
      </c>
      <c r="G2651" s="105"/>
      <c r="H2651" s="74"/>
      <c r="I2651" s="74"/>
      <c r="J2651" s="74"/>
    </row>
    <row r="2652" spans="1:10" x14ac:dyDescent="0.2">
      <c r="A2652" s="234"/>
      <c r="B2652" s="30"/>
      <c r="C2652" s="39"/>
      <c r="D2652" s="18"/>
      <c r="E2652" s="18"/>
      <c r="F2652" s="255"/>
      <c r="G2652" s="105"/>
      <c r="H2652" s="74"/>
      <c r="I2652" s="74"/>
      <c r="J2652" s="74"/>
    </row>
    <row r="2653" spans="1:10" ht="51" x14ac:dyDescent="0.2">
      <c r="A2653" s="234" t="s">
        <v>91</v>
      </c>
      <c r="B2653" s="166" t="s">
        <v>1512</v>
      </c>
      <c r="C2653" s="39"/>
      <c r="D2653" s="18"/>
      <c r="E2653" s="18"/>
      <c r="F2653" s="255"/>
      <c r="G2653" s="105"/>
      <c r="H2653" s="74"/>
      <c r="I2653" s="74"/>
      <c r="J2653" s="74"/>
    </row>
    <row r="2654" spans="1:10" ht="63.75" x14ac:dyDescent="0.2">
      <c r="A2654" s="234"/>
      <c r="B2654" s="166" t="s">
        <v>1511</v>
      </c>
      <c r="C2654" s="39"/>
      <c r="D2654" s="18"/>
      <c r="E2654" s="18"/>
      <c r="F2654" s="255"/>
      <c r="G2654" s="105"/>
      <c r="H2654" s="74"/>
      <c r="I2654" s="74"/>
      <c r="J2654" s="74"/>
    </row>
    <row r="2655" spans="1:10" x14ac:dyDescent="0.2">
      <c r="A2655" s="234"/>
      <c r="B2655" s="166" t="s">
        <v>97</v>
      </c>
      <c r="C2655" s="39"/>
      <c r="D2655" s="312"/>
      <c r="E2655" s="18"/>
      <c r="F2655" s="249"/>
      <c r="G2655" s="105"/>
      <c r="H2655" s="74"/>
      <c r="I2655" s="74"/>
      <c r="J2655" s="74"/>
    </row>
    <row r="2656" spans="1:10" x14ac:dyDescent="0.2">
      <c r="A2656" s="234"/>
      <c r="B2656" s="74"/>
      <c r="C2656" s="39"/>
      <c r="D2656" s="18"/>
      <c r="E2656" s="18"/>
      <c r="F2656" s="255"/>
      <c r="G2656" s="105"/>
      <c r="H2656" s="74"/>
      <c r="I2656" s="74"/>
      <c r="J2656" s="74"/>
    </row>
    <row r="2657" spans="1:12" x14ac:dyDescent="0.2">
      <c r="A2657" s="234"/>
      <c r="B2657" s="166" t="s">
        <v>1510</v>
      </c>
      <c r="C2657" s="39"/>
      <c r="D2657" s="18"/>
      <c r="E2657" s="18"/>
      <c r="F2657" s="255"/>
      <c r="G2657" s="105"/>
      <c r="H2657" s="74"/>
      <c r="I2657" s="74"/>
      <c r="J2657" s="74"/>
    </row>
    <row r="2658" spans="1:12" ht="25.5" x14ac:dyDescent="0.2">
      <c r="A2658" s="234"/>
      <c r="B2658" s="31" t="s">
        <v>1515</v>
      </c>
      <c r="C2658" s="39" t="s">
        <v>40</v>
      </c>
      <c r="D2658" s="52">
        <f>13.45+15.3+15.8+16.9+16.5+17.25+16*2+15.1*2+15.5</f>
        <v>172.89999999999998</v>
      </c>
      <c r="E2658" s="18"/>
      <c r="F2658" s="249">
        <f>E2658*D2658</f>
        <v>0</v>
      </c>
      <c r="G2658" s="105"/>
      <c r="H2658" s="74"/>
      <c r="I2658" s="74"/>
      <c r="J2658" s="74"/>
    </row>
    <row r="2659" spans="1:12" x14ac:dyDescent="0.2">
      <c r="A2659" s="234"/>
      <c r="B2659" s="30"/>
      <c r="C2659" s="39"/>
      <c r="D2659" s="18"/>
      <c r="E2659" s="18"/>
      <c r="F2659" s="255"/>
      <c r="G2659" s="105"/>
      <c r="H2659" s="74"/>
      <c r="I2659" s="74"/>
      <c r="J2659" s="74"/>
    </row>
    <row r="2660" spans="1:12" ht="63.75" x14ac:dyDescent="0.2">
      <c r="A2660" s="234" t="s">
        <v>90</v>
      </c>
      <c r="B2660" s="30" t="s">
        <v>638</v>
      </c>
      <c r="C2660" s="39"/>
      <c r="D2660" s="18"/>
      <c r="E2660" s="18"/>
      <c r="F2660" s="255"/>
      <c r="G2660" s="105"/>
      <c r="H2660" s="74"/>
      <c r="I2660" s="74"/>
      <c r="J2660" s="74"/>
    </row>
    <row r="2661" spans="1:12" ht="63.75" x14ac:dyDescent="0.2">
      <c r="A2661" s="234"/>
      <c r="B2661" s="168" t="s">
        <v>260</v>
      </c>
      <c r="C2661" s="17"/>
      <c r="D2661" s="42"/>
      <c r="E2661" s="43"/>
      <c r="F2661" s="249"/>
      <c r="G2661" s="8"/>
    </row>
    <row r="2662" spans="1:12" ht="12.75" customHeight="1" x14ac:dyDescent="0.2">
      <c r="A2662" s="339"/>
      <c r="B2662" s="343" t="s">
        <v>100</v>
      </c>
      <c r="C2662" s="363" t="s">
        <v>33</v>
      </c>
      <c r="D2662" s="398">
        <v>55</v>
      </c>
      <c r="E2662" s="343"/>
      <c r="F2662" s="344">
        <f>E2662*D2662</f>
        <v>0</v>
      </c>
      <c r="G2662" s="8"/>
    </row>
    <row r="2663" spans="1:12" x14ac:dyDescent="0.2">
      <c r="A2663" s="234"/>
      <c r="B2663" s="12"/>
      <c r="C2663" s="17"/>
      <c r="D2663" s="42"/>
      <c r="E2663" s="43"/>
      <c r="F2663" s="249"/>
      <c r="G2663" s="8"/>
    </row>
    <row r="2664" spans="1:12" ht="38.25" x14ac:dyDescent="0.2">
      <c r="A2664" s="234" t="s">
        <v>164</v>
      </c>
      <c r="B2664" s="168" t="s">
        <v>639</v>
      </c>
      <c r="C2664" s="25"/>
      <c r="D2664" s="65"/>
      <c r="E2664" s="25"/>
      <c r="F2664" s="235"/>
      <c r="G2664" s="8"/>
    </row>
    <row r="2665" spans="1:12" x14ac:dyDescent="0.2">
      <c r="A2665" s="234"/>
      <c r="B2665" s="12" t="s">
        <v>100</v>
      </c>
      <c r="C2665" s="17" t="s">
        <v>33</v>
      </c>
      <c r="D2665" s="42">
        <v>6</v>
      </c>
      <c r="E2665" s="12"/>
      <c r="F2665" s="249">
        <f>E2665*D2665</f>
        <v>0</v>
      </c>
      <c r="G2665" s="8"/>
    </row>
    <row r="2666" spans="1:12" ht="15" x14ac:dyDescent="0.2">
      <c r="A2666" s="234"/>
      <c r="B2666" s="25"/>
      <c r="C2666" s="25"/>
      <c r="D2666" s="65"/>
      <c r="E2666" s="25"/>
      <c r="F2666" s="235"/>
      <c r="G2666" s="311"/>
      <c r="H2666" s="463"/>
      <c r="I2666" s="463"/>
      <c r="J2666" s="463"/>
      <c r="K2666" s="463"/>
      <c r="L2666" s="463"/>
    </row>
    <row r="2667" spans="1:12" ht="51" x14ac:dyDescent="0.2">
      <c r="A2667" s="234" t="s">
        <v>216</v>
      </c>
      <c r="B2667" s="223" t="s">
        <v>640</v>
      </c>
      <c r="C2667" s="25"/>
      <c r="D2667" s="65"/>
      <c r="E2667" s="25"/>
      <c r="F2667" s="235"/>
      <c r="G2667" s="311"/>
      <c r="H2667" s="463"/>
      <c r="I2667" s="463"/>
      <c r="J2667" s="463"/>
      <c r="K2667" s="463"/>
      <c r="L2667" s="463"/>
    </row>
    <row r="2668" spans="1:12" x14ac:dyDescent="0.2">
      <c r="A2668" s="234"/>
      <c r="B2668" s="12" t="s">
        <v>100</v>
      </c>
      <c r="C2668" s="17" t="s">
        <v>33</v>
      </c>
      <c r="D2668" s="42">
        <v>55</v>
      </c>
      <c r="E2668" s="12"/>
      <c r="F2668" s="249">
        <f>E2668*D2668</f>
        <v>0</v>
      </c>
      <c r="G2668" s="11"/>
      <c r="H2668" s="78"/>
      <c r="I2668" s="95"/>
      <c r="J2668" s="74"/>
    </row>
    <row r="2669" spans="1:12" x14ac:dyDescent="0.2">
      <c r="A2669" s="234"/>
      <c r="B2669" s="61"/>
      <c r="C2669" s="61"/>
      <c r="D2669" s="65"/>
      <c r="E2669" s="25"/>
      <c r="F2669" s="235"/>
      <c r="H2669" s="78"/>
      <c r="I2669" s="95"/>
      <c r="J2669" s="74"/>
    </row>
    <row r="2670" spans="1:12" ht="25.5" x14ac:dyDescent="0.2">
      <c r="A2670" s="234" t="s">
        <v>99</v>
      </c>
      <c r="B2670" s="166" t="s">
        <v>685</v>
      </c>
      <c r="C2670" s="61"/>
      <c r="D2670" s="65"/>
      <c r="E2670" s="25"/>
      <c r="F2670" s="235"/>
      <c r="H2670" s="78"/>
      <c r="I2670" s="94"/>
      <c r="J2670" s="74"/>
    </row>
    <row r="2671" spans="1:12" ht="63.75" x14ac:dyDescent="0.2">
      <c r="A2671" s="234"/>
      <c r="B2671" s="223" t="s">
        <v>642</v>
      </c>
      <c r="C2671" s="61"/>
      <c r="D2671" s="65"/>
      <c r="E2671" s="25"/>
      <c r="F2671" s="235"/>
      <c r="H2671" s="78"/>
      <c r="I2671" s="94"/>
      <c r="J2671" s="74"/>
    </row>
    <row r="2672" spans="1:12" ht="25.5" x14ac:dyDescent="0.2">
      <c r="A2672" s="234"/>
      <c r="B2672" s="74" t="s">
        <v>643</v>
      </c>
      <c r="C2672" s="61"/>
      <c r="D2672" s="65"/>
      <c r="E2672" s="25"/>
      <c r="F2672" s="235"/>
      <c r="H2672" s="78"/>
      <c r="I2672" s="94"/>
      <c r="J2672" s="74"/>
    </row>
    <row r="2673" spans="1:10" ht="25.5" x14ac:dyDescent="0.2">
      <c r="A2673" s="234"/>
      <c r="B2673" s="74" t="s">
        <v>641</v>
      </c>
      <c r="C2673" s="61"/>
      <c r="D2673" s="65"/>
      <c r="E2673" s="25"/>
      <c r="F2673" s="235"/>
      <c r="H2673" s="78"/>
      <c r="I2673" s="94"/>
      <c r="J2673" s="74"/>
    </row>
    <row r="2674" spans="1:10" x14ac:dyDescent="0.2">
      <c r="A2674" s="234"/>
      <c r="B2674" s="12" t="s">
        <v>100</v>
      </c>
      <c r="C2674" s="17" t="s">
        <v>33</v>
      </c>
      <c r="D2674" s="42">
        <v>1</v>
      </c>
      <c r="E2674" s="12"/>
      <c r="F2674" s="249">
        <f>E2674*D2674</f>
        <v>0</v>
      </c>
      <c r="G2674" s="11"/>
      <c r="H2674" s="78"/>
      <c r="I2674" s="95"/>
      <c r="J2674" s="74"/>
    </row>
    <row r="2675" spans="1:10" x14ac:dyDescent="0.2">
      <c r="A2675" s="234"/>
      <c r="B2675" s="82"/>
      <c r="C2675" s="25"/>
      <c r="D2675" s="65"/>
      <c r="E2675" s="25"/>
      <c r="F2675" s="235"/>
    </row>
    <row r="2676" spans="1:10" ht="51" x14ac:dyDescent="0.2">
      <c r="A2676" s="234" t="s">
        <v>112</v>
      </c>
      <c r="B2676" s="25" t="s">
        <v>699</v>
      </c>
      <c r="C2676" s="25"/>
      <c r="D2676" s="65"/>
      <c r="E2676" s="25"/>
      <c r="F2676" s="235"/>
    </row>
    <row r="2677" spans="1:10" ht="51" x14ac:dyDescent="0.2">
      <c r="A2677" s="234"/>
      <c r="B2677" s="61" t="s">
        <v>651</v>
      </c>
      <c r="C2677" s="25"/>
      <c r="D2677" s="65"/>
      <c r="E2677" s="25"/>
      <c r="F2677" s="254"/>
    </row>
    <row r="2678" spans="1:10" x14ac:dyDescent="0.2">
      <c r="A2678" s="234"/>
      <c r="B2678" s="61" t="s">
        <v>645</v>
      </c>
      <c r="C2678" s="25"/>
      <c r="D2678" s="65"/>
      <c r="E2678" s="25"/>
      <c r="F2678" s="235"/>
    </row>
    <row r="2679" spans="1:10" x14ac:dyDescent="0.2">
      <c r="A2679" s="234"/>
      <c r="B2679" s="61" t="s">
        <v>644</v>
      </c>
      <c r="C2679" s="27"/>
      <c r="D2679" s="29"/>
      <c r="E2679" s="12"/>
      <c r="F2679" s="249"/>
      <c r="G2679" s="11"/>
    </row>
    <row r="2680" spans="1:10" x14ac:dyDescent="0.2">
      <c r="A2680" s="234"/>
      <c r="B2680" s="82"/>
      <c r="C2680" s="27"/>
      <c r="D2680" s="330"/>
      <c r="E2680" s="43"/>
      <c r="F2680" s="298">
        <f>+D2680*E2680</f>
        <v>0</v>
      </c>
      <c r="G2680" s="212"/>
    </row>
    <row r="2681" spans="1:10" x14ac:dyDescent="0.2">
      <c r="A2681" s="234"/>
      <c r="B2681" s="82" t="s">
        <v>168</v>
      </c>
      <c r="C2681" s="62" t="s">
        <v>39</v>
      </c>
      <c r="D2681" s="52">
        <v>13.81</v>
      </c>
      <c r="E2681" s="18"/>
      <c r="F2681" s="249">
        <f>E2681*D2681</f>
        <v>0</v>
      </c>
      <c r="G2681" s="212"/>
    </row>
    <row r="2682" spans="1:10" x14ac:dyDescent="0.2">
      <c r="A2682" s="234"/>
      <c r="B2682" s="82"/>
      <c r="C2682" s="27"/>
      <c r="D2682" s="330"/>
      <c r="E2682" s="43"/>
      <c r="F2682" s="298"/>
      <c r="G2682" s="212"/>
    </row>
    <row r="2683" spans="1:10" x14ac:dyDescent="0.2">
      <c r="A2683" s="339"/>
      <c r="B2683" s="429" t="s">
        <v>652</v>
      </c>
      <c r="C2683" s="341" t="s">
        <v>39</v>
      </c>
      <c r="D2683" s="371">
        <v>50.74</v>
      </c>
      <c r="E2683" s="364"/>
      <c r="F2683" s="344">
        <f>E2683*D2683</f>
        <v>0</v>
      </c>
      <c r="G2683" s="183"/>
    </row>
    <row r="2684" spans="1:10" x14ac:dyDescent="0.2">
      <c r="A2684" s="234"/>
      <c r="B2684" s="26"/>
      <c r="C2684" s="27"/>
      <c r="D2684" s="29"/>
      <c r="E2684" s="12"/>
      <c r="F2684" s="249"/>
      <c r="G2684" s="11"/>
    </row>
    <row r="2685" spans="1:10" ht="38.25" x14ac:dyDescent="0.2">
      <c r="A2685" s="234" t="s">
        <v>112</v>
      </c>
      <c r="B2685" s="26" t="s">
        <v>1685</v>
      </c>
      <c r="C2685" s="27"/>
      <c r="D2685" s="60"/>
      <c r="E2685" s="12"/>
      <c r="F2685" s="249"/>
      <c r="G2685" s="11"/>
    </row>
    <row r="2686" spans="1:10" ht="76.5" x14ac:dyDescent="0.2">
      <c r="A2686" s="434"/>
      <c r="B2686" s="26" t="s">
        <v>1686</v>
      </c>
      <c r="C2686" s="27"/>
      <c r="D2686" s="60"/>
      <c r="E2686" s="12"/>
      <c r="F2686" s="249"/>
      <c r="G2686" s="11"/>
    </row>
    <row r="2687" spans="1:10" ht="63.75" x14ac:dyDescent="0.2">
      <c r="A2687" s="434"/>
      <c r="B2687" s="26" t="s">
        <v>1687</v>
      </c>
      <c r="C2687" s="27"/>
      <c r="D2687" s="60"/>
      <c r="E2687" s="12"/>
      <c r="F2687" s="249"/>
      <c r="G2687" s="11"/>
    </row>
    <row r="2688" spans="1:10" ht="51" x14ac:dyDescent="0.2">
      <c r="A2688" s="434"/>
      <c r="B2688" s="166" t="s">
        <v>1688</v>
      </c>
      <c r="C2688" s="27"/>
      <c r="D2688" s="60"/>
      <c r="E2688" s="12"/>
      <c r="F2688" s="249"/>
      <c r="G2688" s="11"/>
    </row>
    <row r="2689" spans="1:7" ht="63.75" x14ac:dyDescent="0.2">
      <c r="A2689" s="434"/>
      <c r="B2689" s="166" t="s">
        <v>1689</v>
      </c>
      <c r="C2689" s="27"/>
      <c r="D2689" s="60"/>
      <c r="E2689" s="12"/>
      <c r="F2689" s="249"/>
      <c r="G2689" s="11"/>
    </row>
    <row r="2690" spans="1:7" ht="25.5" x14ac:dyDescent="0.2">
      <c r="A2690" s="434"/>
      <c r="B2690" s="166" t="s">
        <v>1690</v>
      </c>
      <c r="C2690" s="27"/>
      <c r="D2690" s="60"/>
      <c r="E2690" s="12"/>
      <c r="F2690" s="249"/>
      <c r="G2690" s="11"/>
    </row>
    <row r="2691" spans="1:7" ht="63.75" x14ac:dyDescent="0.2">
      <c r="A2691" s="434"/>
      <c r="B2691" s="166" t="s">
        <v>1691</v>
      </c>
      <c r="C2691" s="27"/>
      <c r="D2691" s="60"/>
      <c r="E2691" s="12"/>
      <c r="F2691" s="249"/>
      <c r="G2691" s="11"/>
    </row>
    <row r="2692" spans="1:7" ht="38.25" x14ac:dyDescent="0.2">
      <c r="A2692" s="434"/>
      <c r="B2692" s="166" t="s">
        <v>1692</v>
      </c>
      <c r="C2692" s="27"/>
      <c r="D2692" s="60"/>
      <c r="E2692" s="12"/>
      <c r="F2692" s="249"/>
      <c r="G2692" s="11"/>
    </row>
    <row r="2693" spans="1:7" ht="25.5" x14ac:dyDescent="0.2">
      <c r="A2693" s="434"/>
      <c r="B2693" s="166" t="s">
        <v>1693</v>
      </c>
      <c r="C2693" s="62" t="s">
        <v>39</v>
      </c>
      <c r="D2693" s="60">
        <v>2.75</v>
      </c>
      <c r="E2693" s="12"/>
      <c r="F2693" s="249">
        <f>E2693*D2693</f>
        <v>0</v>
      </c>
      <c r="G2693" s="11"/>
    </row>
    <row r="2694" spans="1:7" x14ac:dyDescent="0.2">
      <c r="A2694" s="234"/>
      <c r="B2694" s="26"/>
      <c r="C2694" s="27"/>
      <c r="D2694" s="29"/>
      <c r="E2694" s="12"/>
      <c r="F2694" s="249"/>
      <c r="G2694" s="11"/>
    </row>
    <row r="2695" spans="1:7" ht="51" x14ac:dyDescent="0.2">
      <c r="A2695" s="234" t="s">
        <v>194</v>
      </c>
      <c r="B2695" s="26" t="s">
        <v>1694</v>
      </c>
      <c r="C2695" s="27"/>
      <c r="D2695" s="29"/>
      <c r="E2695" s="12"/>
      <c r="F2695" s="249"/>
      <c r="G2695" s="11"/>
    </row>
    <row r="2696" spans="1:7" ht="25.5" x14ac:dyDescent="0.2">
      <c r="A2696" s="234"/>
      <c r="B2696" s="26" t="s">
        <v>1695</v>
      </c>
      <c r="C2696" s="27"/>
      <c r="D2696" s="29"/>
      <c r="E2696" s="12"/>
      <c r="F2696" s="249"/>
      <c r="G2696" s="11"/>
    </row>
    <row r="2697" spans="1:7" ht="38.25" x14ac:dyDescent="0.2">
      <c r="A2697" s="234"/>
      <c r="B2697" s="26" t="s">
        <v>1697</v>
      </c>
      <c r="C2697" s="27"/>
      <c r="D2697" s="29"/>
      <c r="E2697" s="12"/>
      <c r="F2697" s="249"/>
      <c r="G2697" s="11"/>
    </row>
    <row r="2698" spans="1:7" x14ac:dyDescent="0.2">
      <c r="A2698" s="339"/>
      <c r="B2698" s="354" t="s">
        <v>1696</v>
      </c>
      <c r="C2698" s="362" t="s">
        <v>33</v>
      </c>
      <c r="D2698" s="389">
        <v>8</v>
      </c>
      <c r="E2698" s="343"/>
      <c r="F2698" s="344">
        <f>E2698*D2698</f>
        <v>0</v>
      </c>
      <c r="G2698" s="11"/>
    </row>
    <row r="2699" spans="1:7" x14ac:dyDescent="0.2">
      <c r="A2699" s="234"/>
      <c r="B2699" s="26"/>
      <c r="C2699" s="27"/>
      <c r="D2699" s="29"/>
      <c r="E2699" s="12"/>
      <c r="F2699" s="249"/>
      <c r="G2699" s="11"/>
    </row>
    <row r="2700" spans="1:7" ht="51" x14ac:dyDescent="0.2">
      <c r="A2700" s="234" t="s">
        <v>1698</v>
      </c>
      <c r="B2700" s="20" t="s">
        <v>111</v>
      </c>
      <c r="C2700" s="25"/>
      <c r="D2700" s="65"/>
      <c r="E2700" s="25"/>
      <c r="F2700" s="235"/>
    </row>
    <row r="2701" spans="1:7" x14ac:dyDescent="0.2">
      <c r="A2701" s="234"/>
      <c r="B2701" s="12" t="s">
        <v>42</v>
      </c>
      <c r="C2701" s="25"/>
      <c r="D2701" s="65"/>
      <c r="E2701" s="25"/>
      <c r="F2701" s="235"/>
      <c r="G2701" s="66"/>
    </row>
    <row r="2702" spans="1:7" x14ac:dyDescent="0.2">
      <c r="A2702" s="234"/>
      <c r="B2702" s="12"/>
      <c r="C2702" s="25"/>
      <c r="D2702" s="65"/>
      <c r="E2702" s="25"/>
      <c r="F2702" s="235"/>
    </row>
    <row r="2703" spans="1:7" x14ac:dyDescent="0.2">
      <c r="A2703" s="234"/>
      <c r="B2703" s="12" t="s">
        <v>175</v>
      </c>
      <c r="C2703" s="25"/>
      <c r="D2703" s="65">
        <f>102.24+39.39</f>
        <v>141.63</v>
      </c>
      <c r="E2703" s="25"/>
      <c r="F2703" s="235"/>
    </row>
    <row r="2704" spans="1:7" x14ac:dyDescent="0.2">
      <c r="A2704" s="234"/>
      <c r="B2704" s="25" t="s">
        <v>28</v>
      </c>
      <c r="C2704" s="25"/>
      <c r="D2704" s="65">
        <v>539.4</v>
      </c>
      <c r="E2704" s="25"/>
      <c r="F2704" s="235"/>
    </row>
    <row r="2705" spans="1:7" x14ac:dyDescent="0.2">
      <c r="A2705" s="234"/>
      <c r="B2705" s="25" t="s">
        <v>746</v>
      </c>
      <c r="C2705" s="25"/>
      <c r="D2705" s="65">
        <v>564.91</v>
      </c>
      <c r="E2705" s="25"/>
      <c r="F2705" s="235"/>
    </row>
    <row r="2706" spans="1:7" x14ac:dyDescent="0.2">
      <c r="A2706" s="234"/>
      <c r="B2706" s="25" t="s">
        <v>1149</v>
      </c>
      <c r="C2706" s="25"/>
      <c r="D2706" s="65">
        <f>2*568.91</f>
        <v>1137.82</v>
      </c>
      <c r="E2706" s="25"/>
      <c r="F2706" s="235"/>
    </row>
    <row r="2707" spans="1:7" x14ac:dyDescent="0.2">
      <c r="A2707" s="234"/>
      <c r="B2707" s="25" t="s">
        <v>776</v>
      </c>
      <c r="C2707" s="25"/>
      <c r="D2707" s="65">
        <v>578.78</v>
      </c>
      <c r="E2707" s="25"/>
      <c r="F2707" s="235"/>
    </row>
    <row r="2708" spans="1:7" x14ac:dyDescent="0.2">
      <c r="A2708" s="234"/>
      <c r="B2708" s="12"/>
      <c r="C2708" s="25"/>
      <c r="D2708" s="65"/>
      <c r="E2708" s="25"/>
      <c r="F2708" s="235"/>
    </row>
    <row r="2709" spans="1:7" x14ac:dyDescent="0.2">
      <c r="A2709" s="234"/>
      <c r="B2709" s="12" t="s">
        <v>1699</v>
      </c>
      <c r="C2709" s="27" t="s">
        <v>39</v>
      </c>
      <c r="D2709" s="65">
        <f>SUM(D2702:D2708)</f>
        <v>2962.54</v>
      </c>
      <c r="E2709" s="12"/>
      <c r="F2709" s="249">
        <f>E2709*D2709</f>
        <v>0</v>
      </c>
      <c r="G2709" s="11"/>
    </row>
    <row r="2710" spans="1:7" ht="13.5" thickBot="1" x14ac:dyDescent="0.25">
      <c r="A2710" s="234"/>
      <c r="B2710" s="12"/>
      <c r="C2710" s="27"/>
      <c r="D2710" s="65"/>
      <c r="E2710" s="12"/>
      <c r="F2710" s="249"/>
      <c r="G2710" s="11"/>
    </row>
    <row r="2711" spans="1:7" ht="15.75" thickBot="1" x14ac:dyDescent="0.25">
      <c r="A2711" s="261" t="str">
        <f>A2641</f>
        <v>16.</v>
      </c>
      <c r="B2711" s="49" t="s">
        <v>108</v>
      </c>
      <c r="C2711" s="50"/>
      <c r="D2711" s="324"/>
      <c r="E2711" s="51"/>
      <c r="F2711" s="244">
        <f>SUM(F2643:F2710)</f>
        <v>0</v>
      </c>
      <c r="G2711" s="198"/>
    </row>
    <row r="2712" spans="1:7" ht="13.5" thickBot="1" x14ac:dyDescent="0.25">
      <c r="A2712" s="268"/>
      <c r="B2712" s="74"/>
      <c r="C2712" s="74"/>
      <c r="D2712" s="199"/>
      <c r="E2712" s="74"/>
      <c r="F2712" s="254"/>
    </row>
    <row r="2713" spans="1:7" ht="18.75" thickBot="1" x14ac:dyDescent="0.3">
      <c r="A2713" s="299"/>
      <c r="B2713" s="54" t="s">
        <v>18</v>
      </c>
      <c r="C2713" s="55"/>
      <c r="D2713" s="334"/>
      <c r="E2713" s="55"/>
      <c r="F2713" s="300"/>
      <c r="G2713" s="213"/>
    </row>
    <row r="2714" spans="1:7" ht="15.75" thickBot="1" x14ac:dyDescent="0.25">
      <c r="A2714" s="261" t="str">
        <f>A5</f>
        <v>1.</v>
      </c>
      <c r="B2714" s="49" t="str">
        <f>B5</f>
        <v>ЗЕМЉАНИ РАДОВИ</v>
      </c>
      <c r="C2714" s="50"/>
      <c r="D2714" s="319"/>
      <c r="E2714" s="53"/>
      <c r="F2714" s="244">
        <f>F63</f>
        <v>0</v>
      </c>
      <c r="G2714" s="214"/>
    </row>
    <row r="2715" spans="1:7" ht="15.75" thickBot="1" x14ac:dyDescent="0.25">
      <c r="A2715" s="261" t="str">
        <f>A64</f>
        <v>2.</v>
      </c>
      <c r="B2715" s="49" t="str">
        <f>B64</f>
        <v>БЕТОНСКИ И АРМИРАНО БЕТОНСКИ РАДОВИ</v>
      </c>
      <c r="C2715" s="50"/>
      <c r="D2715" s="319"/>
      <c r="E2715" s="53"/>
      <c r="F2715" s="244">
        <f>F412</f>
        <v>0</v>
      </c>
      <c r="G2715" s="214"/>
    </row>
    <row r="2716" spans="1:7" ht="15.75" thickBot="1" x14ac:dyDescent="0.25">
      <c r="A2716" s="261" t="str">
        <f>A413</f>
        <v>3.</v>
      </c>
      <c r="B2716" s="49" t="str">
        <f>B413</f>
        <v xml:space="preserve">АРМИРАЧКИ РАДОВИ </v>
      </c>
      <c r="C2716" s="50"/>
      <c r="D2716" s="319"/>
      <c r="E2716" s="53"/>
      <c r="F2716" s="244">
        <f>F419</f>
        <v>0</v>
      </c>
      <c r="G2716" s="214"/>
    </row>
    <row r="2717" spans="1:7" ht="15.75" thickBot="1" x14ac:dyDescent="0.25">
      <c r="A2717" s="261" t="str">
        <f>A420:B420</f>
        <v>4.</v>
      </c>
      <c r="B2717" s="49" t="str">
        <f>B420</f>
        <v>ЗИДАРСКИ РАДОВИ</v>
      </c>
      <c r="C2717" s="50"/>
      <c r="D2717" s="319"/>
      <c r="E2717" s="53"/>
      <c r="F2717" s="244">
        <f>F864</f>
        <v>0</v>
      </c>
      <c r="G2717" s="214"/>
    </row>
    <row r="2718" spans="1:7" ht="15.75" thickBot="1" x14ac:dyDescent="0.25">
      <c r="A2718" s="261" t="str">
        <f>A865</f>
        <v>5.</v>
      </c>
      <c r="B2718" s="49" t="str">
        <f>B865</f>
        <v>ТЕСАРСКИ РАДОВИ</v>
      </c>
      <c r="C2718" s="50"/>
      <c r="D2718" s="319"/>
      <c r="E2718" s="53"/>
      <c r="F2718" s="244">
        <f>F922</f>
        <v>0</v>
      </c>
      <c r="G2718" s="214"/>
    </row>
    <row r="2719" spans="1:7" ht="15.75" thickBot="1" x14ac:dyDescent="0.25">
      <c r="A2719" s="261" t="str">
        <f>A923</f>
        <v>6.</v>
      </c>
      <c r="B2719" s="49" t="str">
        <f>B923</f>
        <v>ИЗОЛАТЕРСКИ РАДОВИ</v>
      </c>
      <c r="C2719" s="50"/>
      <c r="D2719" s="319"/>
      <c r="E2719" s="53"/>
      <c r="F2719" s="244">
        <f>F1303</f>
        <v>0</v>
      </c>
      <c r="G2719" s="214"/>
    </row>
    <row r="2720" spans="1:7" ht="15.75" thickBot="1" x14ac:dyDescent="0.25">
      <c r="A2720" s="261" t="str">
        <f>A1304</f>
        <v>7.</v>
      </c>
      <c r="B2720" s="49" t="str">
        <f>B1304</f>
        <v>СУВОМОНТАЖНИ РАДОВИ</v>
      </c>
      <c r="C2720" s="50"/>
      <c r="D2720" s="319"/>
      <c r="E2720" s="53"/>
      <c r="F2720" s="244">
        <f>F1401</f>
        <v>0</v>
      </c>
      <c r="G2720" s="214"/>
    </row>
    <row r="2721" spans="1:13" ht="15.75" thickBot="1" x14ac:dyDescent="0.25">
      <c r="A2721" s="261" t="str">
        <f>A1402</f>
        <v>8.</v>
      </c>
      <c r="B2721" s="49" t="str">
        <f>B1402</f>
        <v>СТОЛАРСКИ  РАДОВИ</v>
      </c>
      <c r="C2721" s="50"/>
      <c r="D2721" s="319"/>
      <c r="E2721" s="53"/>
      <c r="F2721" s="244">
        <f>F1543</f>
        <v>0</v>
      </c>
      <c r="G2721" s="214"/>
    </row>
    <row r="2722" spans="1:13" ht="15.75" thickBot="1" x14ac:dyDescent="0.25">
      <c r="A2722" s="261" t="str">
        <f>A1544</f>
        <v>9.</v>
      </c>
      <c r="B2722" s="49" t="str">
        <f>B1544</f>
        <v>ПВЦ СТОЛАРИЈА</v>
      </c>
      <c r="C2722" s="50"/>
      <c r="D2722" s="319"/>
      <c r="E2722" s="53"/>
      <c r="F2722" s="244">
        <f>F1700</f>
        <v>0</v>
      </c>
      <c r="G2722" s="214"/>
    </row>
    <row r="2723" spans="1:13" ht="15.75" thickBot="1" x14ac:dyDescent="0.25">
      <c r="A2723" s="261" t="str">
        <f>A1701</f>
        <v>10.</v>
      </c>
      <c r="B2723" s="49" t="str">
        <f>B1701</f>
        <v>АЛУМИНАРИЈА И БРАВАРСКИ РАДОВИ</v>
      </c>
      <c r="C2723" s="50"/>
      <c r="D2723" s="319"/>
      <c r="E2723" s="53"/>
      <c r="F2723" s="244">
        <f>F2095</f>
        <v>0</v>
      </c>
      <c r="G2723" s="214"/>
    </row>
    <row r="2724" spans="1:13" ht="15.75" thickBot="1" x14ac:dyDescent="0.25">
      <c r="A2724" s="261" t="str">
        <f>A2096</f>
        <v>11.</v>
      </c>
      <c r="B2724" s="49" t="str">
        <f>B2096</f>
        <v>ЛИМАРСКИ РАДОВИ</v>
      </c>
      <c r="C2724" s="50"/>
      <c r="D2724" s="319"/>
      <c r="E2724" s="53"/>
      <c r="F2724" s="244">
        <f>F2252</f>
        <v>0</v>
      </c>
      <c r="G2724" s="214"/>
    </row>
    <row r="2725" spans="1:13" ht="15.75" thickBot="1" x14ac:dyDescent="0.25">
      <c r="A2725" s="261" t="str">
        <f>A2253</f>
        <v>12.</v>
      </c>
      <c r="B2725" s="49" t="str">
        <f>B2253</f>
        <v>КЕРАМИЧАРСКИ РАДОВИ</v>
      </c>
      <c r="C2725" s="50"/>
      <c r="D2725" s="319"/>
      <c r="E2725" s="53"/>
      <c r="F2725" s="244">
        <f>F2428</f>
        <v>0</v>
      </c>
      <c r="G2725" s="214"/>
    </row>
    <row r="2726" spans="1:13" ht="15.75" thickBot="1" x14ac:dyDescent="0.25">
      <c r="A2726" s="261" t="str">
        <f>A2429</f>
        <v>13.</v>
      </c>
      <c r="B2726" s="49" t="str">
        <f>B2429</f>
        <v>ПОДОПОЛАГАЧКИ РАДОВИ</v>
      </c>
      <c r="C2726" s="50"/>
      <c r="D2726" s="319"/>
      <c r="E2726" s="53"/>
      <c r="F2726" s="244">
        <f>F2496</f>
        <v>0</v>
      </c>
      <c r="G2726" s="214"/>
    </row>
    <row r="2727" spans="1:13" ht="15.75" thickBot="1" x14ac:dyDescent="0.25">
      <c r="A2727" s="261" t="str">
        <f>A2497</f>
        <v>14.</v>
      </c>
      <c r="B2727" s="49" t="str">
        <f>B2497</f>
        <v>МОЛЕРСКО ФАРБАРСКИ РАДОВИ</v>
      </c>
      <c r="C2727" s="50"/>
      <c r="D2727" s="319"/>
      <c r="E2727" s="53"/>
      <c r="F2727" s="244">
        <f>F2551</f>
        <v>0</v>
      </c>
      <c r="G2727" s="214"/>
    </row>
    <row r="2728" spans="1:13" ht="15.75" thickBot="1" x14ac:dyDescent="0.25">
      <c r="A2728" s="261" t="str">
        <f>A2552</f>
        <v>15.</v>
      </c>
      <c r="B2728" s="49" t="str">
        <f>B2552</f>
        <v>ФАСАДЕРСКИ РАДОВИ</v>
      </c>
      <c r="C2728" s="50"/>
      <c r="D2728" s="319"/>
      <c r="E2728" s="53"/>
      <c r="F2728" s="244">
        <f>F2640</f>
        <v>0</v>
      </c>
      <c r="G2728" s="214"/>
    </row>
    <row r="2729" spans="1:13" ht="15.75" thickBot="1" x14ac:dyDescent="0.25">
      <c r="A2729" s="301" t="str">
        <f>A2641</f>
        <v>16.</v>
      </c>
      <c r="B2729" s="302" t="str">
        <f>B2641</f>
        <v>РАЗНИ РАДОВИ</v>
      </c>
      <c r="C2729" s="303"/>
      <c r="D2729" s="335"/>
      <c r="E2729" s="304"/>
      <c r="F2729" s="305">
        <f>F2711</f>
        <v>0</v>
      </c>
      <c r="G2729" s="214"/>
    </row>
    <row r="2730" spans="1:13" ht="15.75" thickBot="1" x14ac:dyDescent="0.25">
      <c r="A2730" s="439"/>
      <c r="B2730" s="59"/>
      <c r="C2730" s="58"/>
      <c r="D2730" s="336"/>
      <c r="E2730" s="58"/>
      <c r="F2730" s="263"/>
      <c r="G2730" s="214"/>
    </row>
    <row r="2731" spans="1:13" ht="15.75" thickBot="1" x14ac:dyDescent="0.25">
      <c r="A2731" s="440"/>
      <c r="B2731" s="128" t="s">
        <v>288</v>
      </c>
      <c r="C2731" s="99"/>
      <c r="D2731" s="324"/>
      <c r="E2731" s="129"/>
      <c r="F2731" s="244">
        <f>SUM(F2714:F2729)</f>
        <v>0</v>
      </c>
      <c r="G2731" s="215">
        <f>F2731/D2709/120</f>
        <v>0</v>
      </c>
    </row>
    <row r="2732" spans="1:13" s="77" customFormat="1" ht="15.75" thickBot="1" x14ac:dyDescent="0.25">
      <c r="A2732" s="440"/>
      <c r="B2732" s="128" t="s">
        <v>289</v>
      </c>
      <c r="C2732" s="99"/>
      <c r="D2732" s="324"/>
      <c r="E2732" s="129"/>
      <c r="F2732" s="244">
        <f>+F2731*0.2</f>
        <v>0</v>
      </c>
      <c r="G2732" s="215"/>
      <c r="H2732" s="8"/>
      <c r="I2732" s="8"/>
      <c r="J2732" s="8"/>
      <c r="K2732" s="8"/>
      <c r="L2732" s="8"/>
      <c r="M2732" s="8"/>
    </row>
    <row r="2733" spans="1:13" ht="15.75" thickBot="1" x14ac:dyDescent="0.25">
      <c r="A2733" s="440"/>
      <c r="B2733" s="128" t="s">
        <v>290</v>
      </c>
      <c r="C2733" s="99"/>
      <c r="D2733" s="324"/>
      <c r="E2733" s="129"/>
      <c r="F2733" s="244">
        <f>SUM(F2731+F2732)</f>
        <v>0</v>
      </c>
      <c r="G2733" s="215"/>
      <c r="J2733" s="216"/>
    </row>
    <row r="2734" spans="1:13" x14ac:dyDescent="0.2">
      <c r="A2734" s="268"/>
      <c r="B2734" s="74"/>
      <c r="C2734" s="74"/>
      <c r="D2734" s="199"/>
      <c r="E2734" s="74"/>
      <c r="F2734" s="254"/>
      <c r="J2734" s="216"/>
    </row>
    <row r="2735" spans="1:13" x14ac:dyDescent="0.2">
      <c r="A2735" s="268"/>
      <c r="B2735" s="74"/>
      <c r="C2735" s="74"/>
      <c r="D2735" s="199"/>
      <c r="E2735" s="74"/>
      <c r="F2735" s="254"/>
      <c r="J2735" s="216"/>
    </row>
    <row r="2736" spans="1:13" x14ac:dyDescent="0.2">
      <c r="A2736" s="441"/>
      <c r="B2736" s="74"/>
      <c r="C2736" s="74"/>
      <c r="D2736" s="74"/>
      <c r="E2736" s="185"/>
      <c r="F2736" s="254"/>
      <c r="G2736" s="8"/>
    </row>
    <row r="2737" spans="1:13" x14ac:dyDescent="0.2">
      <c r="A2737" s="441"/>
      <c r="B2737" s="93"/>
      <c r="C2737" s="74"/>
      <c r="D2737" s="74"/>
      <c r="E2737" s="74"/>
      <c r="F2737" s="254"/>
    </row>
    <row r="2738" spans="1:13" x14ac:dyDescent="0.2">
      <c r="A2738" s="441"/>
      <c r="B2738" s="74"/>
      <c r="C2738" s="74"/>
      <c r="D2738" s="74"/>
      <c r="E2738" s="433"/>
      <c r="F2738" s="254"/>
    </row>
    <row r="2739" spans="1:13" x14ac:dyDescent="0.2">
      <c r="A2739" s="441"/>
      <c r="B2739" s="74"/>
      <c r="C2739" s="74"/>
      <c r="D2739" s="74"/>
      <c r="E2739" s="74"/>
      <c r="F2739" s="254"/>
    </row>
    <row r="2740" spans="1:13" x14ac:dyDescent="0.2">
      <c r="A2740" s="441"/>
      <c r="B2740" s="74"/>
      <c r="C2740" s="74"/>
      <c r="D2740" s="74"/>
      <c r="E2740" s="74"/>
      <c r="F2740" s="254"/>
      <c r="G2740" s="216"/>
    </row>
    <row r="2741" spans="1:13" x14ac:dyDescent="0.2">
      <c r="A2741" s="441"/>
      <c r="B2741" s="74"/>
      <c r="C2741" s="74"/>
      <c r="D2741" s="74"/>
      <c r="E2741" s="432"/>
      <c r="F2741" s="254"/>
    </row>
    <row r="2742" spans="1:13" x14ac:dyDescent="0.2">
      <c r="A2742" s="441"/>
      <c r="B2742" s="74"/>
      <c r="C2742" s="74"/>
      <c r="D2742" s="74"/>
      <c r="E2742" s="74"/>
      <c r="F2742" s="254"/>
      <c r="G2742" s="433"/>
    </row>
    <row r="2743" spans="1:13" x14ac:dyDescent="0.2">
      <c r="A2743" s="441"/>
      <c r="B2743" s="74"/>
      <c r="C2743" s="74"/>
      <c r="D2743" s="74"/>
      <c r="E2743" s="465"/>
      <c r="F2743" s="442"/>
      <c r="G2743" s="93"/>
      <c r="J2743" s="77"/>
      <c r="K2743" s="77"/>
      <c r="L2743" s="77"/>
      <c r="M2743" s="77"/>
    </row>
    <row r="2744" spans="1:13" ht="12.75" customHeight="1" x14ac:dyDescent="0.2">
      <c r="A2744" s="441"/>
      <c r="B2744" s="74"/>
      <c r="C2744" s="74"/>
      <c r="D2744" s="74"/>
      <c r="E2744" s="11"/>
      <c r="F2744" s="254"/>
      <c r="G2744" s="475"/>
      <c r="H2744" s="475"/>
      <c r="I2744" s="195"/>
      <c r="J2744" s="216"/>
    </row>
    <row r="2745" spans="1:13" ht="12.75" customHeight="1" x14ac:dyDescent="0.2">
      <c r="A2745" s="441"/>
      <c r="B2745" s="74"/>
      <c r="C2745" s="74"/>
      <c r="D2745" s="74"/>
      <c r="E2745" s="465" t="s">
        <v>1701</v>
      </c>
      <c r="F2745" s="254"/>
      <c r="G2745" s="432"/>
      <c r="H2745" s="432"/>
      <c r="I2745" s="195"/>
      <c r="J2745" s="216"/>
    </row>
    <row r="2746" spans="1:13" ht="12.75" customHeight="1" x14ac:dyDescent="0.2">
      <c r="A2746" s="441"/>
      <c r="B2746" s="74"/>
      <c r="C2746" s="74"/>
      <c r="D2746" s="74"/>
      <c r="E2746" s="11"/>
      <c r="F2746" s="254"/>
      <c r="G2746" s="432"/>
      <c r="H2746" s="432"/>
      <c r="I2746" s="195"/>
      <c r="J2746" s="216"/>
    </row>
    <row r="2747" spans="1:13" ht="12.75" customHeight="1" x14ac:dyDescent="0.2">
      <c r="A2747" s="441"/>
      <c r="B2747" s="74"/>
      <c r="C2747" s="74"/>
      <c r="D2747" s="74"/>
      <c r="E2747" s="465" t="s">
        <v>1702</v>
      </c>
      <c r="F2747" s="254"/>
      <c r="G2747" s="432"/>
      <c r="H2747" s="432"/>
      <c r="I2747" s="195"/>
      <c r="J2747" s="216"/>
    </row>
    <row r="2748" spans="1:13" ht="12.75" customHeight="1" x14ac:dyDescent="0.2">
      <c r="A2748" s="441"/>
      <c r="B2748" s="74"/>
      <c r="C2748" s="74"/>
      <c r="D2748" s="74"/>
      <c r="E2748" s="466"/>
      <c r="F2748" s="254"/>
      <c r="G2748" s="432"/>
      <c r="H2748" s="432"/>
      <c r="I2748" s="195"/>
      <c r="J2748" s="216"/>
    </row>
    <row r="2749" spans="1:13" ht="12.75" customHeight="1" x14ac:dyDescent="0.2">
      <c r="A2749" s="441"/>
      <c r="B2749" s="74"/>
      <c r="C2749" s="74"/>
      <c r="D2749" s="74"/>
      <c r="E2749" s="466"/>
      <c r="F2749" s="254"/>
      <c r="G2749" s="432"/>
      <c r="H2749" s="432"/>
      <c r="I2749" s="195"/>
      <c r="J2749" s="216"/>
    </row>
    <row r="2750" spans="1:13" x14ac:dyDescent="0.2">
      <c r="A2750" s="441"/>
      <c r="B2750" s="74"/>
      <c r="C2750" s="74"/>
      <c r="D2750" s="74"/>
      <c r="E2750" s="465" t="s">
        <v>1703</v>
      </c>
      <c r="F2750" s="254"/>
    </row>
    <row r="2751" spans="1:13" x14ac:dyDescent="0.2">
      <c r="A2751" s="441"/>
      <c r="B2751" s="74"/>
      <c r="C2751" s="74"/>
      <c r="D2751" s="74"/>
      <c r="E2751" s="11"/>
      <c r="F2751" s="443"/>
      <c r="G2751" s="216"/>
    </row>
    <row r="2752" spans="1:13" x14ac:dyDescent="0.2">
      <c r="A2752" s="476" t="s">
        <v>1706</v>
      </c>
      <c r="B2752" s="477"/>
      <c r="C2752" s="74"/>
      <c r="D2752" s="74"/>
      <c r="E2752" s="465" t="s">
        <v>1704</v>
      </c>
      <c r="F2752" s="254"/>
    </row>
    <row r="2753" spans="1:6" x14ac:dyDescent="0.2">
      <c r="A2753" s="268"/>
      <c r="B2753" s="74"/>
      <c r="C2753" s="74"/>
      <c r="D2753" s="199"/>
      <c r="E2753" s="465"/>
      <c r="F2753" s="254"/>
    </row>
    <row r="2754" spans="1:6" x14ac:dyDescent="0.2">
      <c r="A2754" s="268"/>
      <c r="B2754" s="74"/>
      <c r="C2754" s="74"/>
      <c r="D2754" s="199"/>
      <c r="E2754" s="11"/>
      <c r="F2754" s="254"/>
    </row>
    <row r="2755" spans="1:6" x14ac:dyDescent="0.2">
      <c r="A2755" s="268"/>
      <c r="B2755" s="74"/>
      <c r="C2755" s="74"/>
      <c r="D2755" s="199"/>
      <c r="E2755" s="465"/>
      <c r="F2755" s="254"/>
    </row>
    <row r="2756" spans="1:6" x14ac:dyDescent="0.2">
      <c r="A2756" s="268"/>
      <c r="B2756" s="74"/>
      <c r="C2756" s="74"/>
      <c r="D2756" s="199"/>
      <c r="E2756" s="74"/>
      <c r="F2756" s="254"/>
    </row>
    <row r="2757" spans="1:6" ht="13.5" thickBot="1" x14ac:dyDescent="0.25">
      <c r="A2757" s="444"/>
      <c r="B2757" s="445"/>
      <c r="C2757" s="445"/>
      <c r="D2757" s="446"/>
      <c r="E2757" s="445"/>
      <c r="F2757" s="447"/>
    </row>
    <row r="2790" spans="7:7" x14ac:dyDescent="0.2">
      <c r="G2790" s="8"/>
    </row>
    <row r="2791" spans="7:7" x14ac:dyDescent="0.2">
      <c r="G2791" s="8"/>
    </row>
    <row r="2792" spans="7:7" x14ac:dyDescent="0.2">
      <c r="G2792" s="8"/>
    </row>
    <row r="2793" spans="7:7" x14ac:dyDescent="0.2">
      <c r="G2793" s="8"/>
    </row>
    <row r="2794" spans="7:7" x14ac:dyDescent="0.2">
      <c r="G2794" s="8"/>
    </row>
    <row r="2795" spans="7:7" x14ac:dyDescent="0.2">
      <c r="G2795" s="8"/>
    </row>
    <row r="2796" spans="7:7" x14ac:dyDescent="0.2">
      <c r="G2796" s="8"/>
    </row>
    <row r="2797" spans="7:7" x14ac:dyDescent="0.2">
      <c r="G2797" s="8"/>
    </row>
    <row r="2798" spans="7:7" x14ac:dyDescent="0.2">
      <c r="G2798" s="8"/>
    </row>
    <row r="2799" spans="7:7" x14ac:dyDescent="0.2">
      <c r="G2799" s="8"/>
    </row>
    <row r="2800" spans="7:7" x14ac:dyDescent="0.2">
      <c r="G2800" s="8"/>
    </row>
    <row r="2801" spans="7:7" x14ac:dyDescent="0.2">
      <c r="G2801" s="8"/>
    </row>
    <row r="2802" spans="7:7" x14ac:dyDescent="0.2">
      <c r="G2802" s="8"/>
    </row>
    <row r="2803" spans="7:7" x14ac:dyDescent="0.2">
      <c r="G2803" s="8"/>
    </row>
    <row r="2804" spans="7:7" x14ac:dyDescent="0.2">
      <c r="G2804" s="8"/>
    </row>
    <row r="2805" spans="7:7" x14ac:dyDescent="0.2">
      <c r="G2805" s="8"/>
    </row>
    <row r="2806" spans="7:7" x14ac:dyDescent="0.2">
      <c r="G2806" s="8"/>
    </row>
    <row r="2807" spans="7:7" x14ac:dyDescent="0.2">
      <c r="G2807" s="8"/>
    </row>
    <row r="2808" spans="7:7" x14ac:dyDescent="0.2">
      <c r="G2808" s="8"/>
    </row>
    <row r="2809" spans="7:7" x14ac:dyDescent="0.2">
      <c r="G2809" s="8"/>
    </row>
    <row r="2810" spans="7:7" x14ac:dyDescent="0.2">
      <c r="G2810" s="8"/>
    </row>
    <row r="2811" spans="7:7" x14ac:dyDescent="0.2">
      <c r="G2811" s="8"/>
    </row>
    <row r="2812" spans="7:7" x14ac:dyDescent="0.2">
      <c r="G2812" s="8"/>
    </row>
    <row r="2813" spans="7:7" x14ac:dyDescent="0.2">
      <c r="G2813" s="8"/>
    </row>
    <row r="2814" spans="7:7" x14ac:dyDescent="0.2">
      <c r="G2814" s="8"/>
    </row>
    <row r="2815" spans="7:7" x14ac:dyDescent="0.2">
      <c r="G2815" s="8"/>
    </row>
    <row r="2816" spans="7:7" x14ac:dyDescent="0.2">
      <c r="G2816" s="8"/>
    </row>
    <row r="2817" spans="7:7" x14ac:dyDescent="0.2">
      <c r="G2817" s="8"/>
    </row>
    <row r="2818" spans="7:7" x14ac:dyDescent="0.2">
      <c r="G2818" s="8"/>
    </row>
    <row r="2819" spans="7:7" x14ac:dyDescent="0.2">
      <c r="G2819" s="8"/>
    </row>
    <row r="2820" spans="7:7" x14ac:dyDescent="0.2">
      <c r="G2820" s="8"/>
    </row>
    <row r="2821" spans="7:7" x14ac:dyDescent="0.2">
      <c r="G2821" s="8"/>
    </row>
    <row r="2822" spans="7:7" x14ac:dyDescent="0.2">
      <c r="G2822" s="8"/>
    </row>
    <row r="2823" spans="7:7" x14ac:dyDescent="0.2">
      <c r="G2823" s="8"/>
    </row>
    <row r="2824" spans="7:7" x14ac:dyDescent="0.2">
      <c r="G2824" s="8"/>
    </row>
    <row r="2825" spans="7:7" x14ac:dyDescent="0.2">
      <c r="G2825" s="8"/>
    </row>
    <row r="2826" spans="7:7" x14ac:dyDescent="0.2">
      <c r="G2826" s="8"/>
    </row>
    <row r="2827" spans="7:7" x14ac:dyDescent="0.2">
      <c r="G2827" s="8"/>
    </row>
    <row r="2828" spans="7:7" x14ac:dyDescent="0.2">
      <c r="G2828" s="8"/>
    </row>
  </sheetData>
  <mergeCells count="9">
    <mergeCell ref="A1:F1"/>
    <mergeCell ref="A2:F2"/>
    <mergeCell ref="G2744:H2744"/>
    <mergeCell ref="A2752:B2752"/>
    <mergeCell ref="G1304:J1304"/>
    <mergeCell ref="B5:F5"/>
    <mergeCell ref="A3:A4"/>
    <mergeCell ref="B3:B4"/>
    <mergeCell ref="C3:C4"/>
  </mergeCells>
  <phoneticPr fontId="5" type="noConversion"/>
  <printOptions horizontalCentered="1"/>
  <pageMargins left="0.9055118110236221" right="0.11811023622047245" top="0.78740157480314965" bottom="0.35433070866141736" header="0.11811023622047245" footer="0.11811023622047245"/>
  <pageSetup paperSize="9" orientation="portrait" r:id="rId1"/>
  <headerFooter scaleWithDoc="0" alignWithMargins="0">
    <oddFooter>&amp;R&amp;"Arial,Bold"&amp;8&amp;P/&amp;N</oddFooter>
  </headerFooter>
  <rowBreaks count="109" manualBreakCount="109">
    <brk id="21" max="16383" man="1"/>
    <brk id="34" max="16383" man="1"/>
    <brk id="63" max="16383" man="1"/>
    <brk id="88" max="16383" man="1"/>
    <brk id="111" max="16383" man="1"/>
    <brk id="131" max="16383" man="1"/>
    <brk id="161" max="16383" man="1"/>
    <brk id="245" max="16383" man="1"/>
    <brk id="333" max="16383" man="1"/>
    <brk id="363" max="16383" man="1"/>
    <brk id="388" max="16383" man="1"/>
    <brk id="412" max="16383" man="1"/>
    <brk id="419" max="16383" man="1"/>
    <brk id="440" max="16383" man="1"/>
    <brk id="471" max="16383" man="1"/>
    <brk id="500" max="16383" man="1"/>
    <brk id="512" max="16383" man="1"/>
    <brk id="540" max="16383" man="1"/>
    <brk id="573" max="16383" man="1"/>
    <brk id="594" max="16383" man="1"/>
    <brk id="625" max="16383" man="1"/>
    <brk id="650" max="16383" man="1"/>
    <brk id="675" max="16383" man="1"/>
    <brk id="704" max="16383" man="1"/>
    <brk id="724" max="16383" man="1"/>
    <brk id="750" max="16383" man="1"/>
    <brk id="769" max="16383" man="1"/>
    <brk id="785" max="16383" man="1"/>
    <brk id="864" max="5" man="1"/>
    <brk id="885" max="16383" man="1"/>
    <brk id="898" max="16383" man="1"/>
    <brk id="914" max="5" man="1"/>
    <brk id="922" max="5" man="1"/>
    <brk id="939" max="16383" man="1"/>
    <brk id="965" max="16383" man="1"/>
    <brk id="989" max="16383" man="1"/>
    <brk id="1032" max="16383" man="1"/>
    <brk id="1066" max="16383" man="1"/>
    <brk id="1080" max="16383" man="1"/>
    <brk id="1091" max="16383" man="1"/>
    <brk id="1127" max="16383" man="1"/>
    <brk id="1150" max="16383" man="1"/>
    <brk id="1174" max="16383" man="1"/>
    <brk id="1210" max="16383" man="1"/>
    <brk id="1232" max="16383" man="1"/>
    <brk id="1250" max="16383" man="1"/>
    <brk id="1270" max="16383" man="1"/>
    <brk id="1303" max="5" man="1"/>
    <brk id="1330" max="16383" man="1"/>
    <brk id="1378" max="16383" man="1"/>
    <brk id="1396" max="5" man="1"/>
    <brk id="1401" max="16383" man="1"/>
    <brk id="1418" max="16383" man="1"/>
    <brk id="1436" max="16383" man="1"/>
    <brk id="1452" max="16383" man="1"/>
    <brk id="1473" max="16383" man="1"/>
    <brk id="1488" max="16383" man="1"/>
    <brk id="1519" max="16383" man="1"/>
    <brk id="1543" max="16383" man="1"/>
    <brk id="1556" max="5" man="1"/>
    <brk id="1573" max="16383" man="1"/>
    <brk id="1605" max="16383" man="1"/>
    <brk id="1637" max="16383" man="1"/>
    <brk id="1654" max="16383" man="1"/>
    <brk id="1686" max="16383" man="1"/>
    <brk id="1700" max="16383" man="1"/>
    <brk id="1714" max="16383" man="1"/>
    <brk id="1727" max="16383" man="1"/>
    <brk id="1746" max="16383" man="1"/>
    <brk id="1765" max="16383" man="1"/>
    <brk id="1791" max="16383" man="1"/>
    <brk id="1816" max="5" man="1"/>
    <brk id="1839" max="16383" man="1"/>
    <brk id="1859" max="16383" man="1"/>
    <brk id="1879" max="16383" man="1"/>
    <brk id="1934" max="16383" man="1"/>
    <brk id="1959" max="5" man="1"/>
    <brk id="1984" max="16383" man="1"/>
    <brk id="1998" max="16383" man="1"/>
    <brk id="2015" max="16383" man="1"/>
    <brk id="2095" max="16383" man="1"/>
    <brk id="2110" max="16383" man="1"/>
    <brk id="2129" max="16383" man="1"/>
    <brk id="2154" max="16383" man="1"/>
    <brk id="2172" max="16383" man="1"/>
    <brk id="2198" max="16383" man="1"/>
    <brk id="2225" max="16383" man="1"/>
    <brk id="2244" max="5" man="1"/>
    <brk id="2252" max="16383" man="1"/>
    <brk id="2281" max="16383" man="1"/>
    <brk id="2317" max="16383" man="1"/>
    <brk id="2360" max="16383" man="1"/>
    <brk id="2384" max="16383" man="1"/>
    <brk id="2428" max="16383" man="1"/>
    <brk id="2442" max="16383" man="1"/>
    <brk id="2462" max="16383" man="1"/>
    <brk id="2486" max="16383" man="1"/>
    <brk id="2496" max="16383" man="1"/>
    <brk id="2515" max="16383" man="1"/>
    <brk id="2539" max="16383" man="1"/>
    <brk id="2551" max="16383" man="1"/>
    <brk id="2576" max="16383" man="1"/>
    <brk id="2597" max="5" man="1"/>
    <brk id="2624" max="5" man="1"/>
    <brk id="2640" max="16383" man="1"/>
    <brk id="2662" max="16383" man="1"/>
    <brk id="2683" max="16383" man="1"/>
    <brk id="2698" max="5" man="1"/>
    <brk id="27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ПиП-АГ-Врање</vt:lpstr>
      <vt:lpstr>'ПиП-АГ-Врање'!Print_Area</vt:lpstr>
      <vt:lpstr>'ПиП-АГ-Врање'!Print_Titles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Natasa Lazarevic</cp:lastModifiedBy>
  <cp:lastPrinted>2018-08-31T11:05:07Z</cp:lastPrinted>
  <dcterms:created xsi:type="dcterms:W3CDTF">1996-12-26T11:58:47Z</dcterms:created>
  <dcterms:modified xsi:type="dcterms:W3CDTF">2018-08-31T11:05:17Z</dcterms:modified>
</cp:coreProperties>
</file>